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1A2" lockStructure="1"/>
  <bookViews>
    <workbookView xWindow="72" yWindow="-36" windowWidth="19440" windowHeight="9576"/>
  </bookViews>
  <sheets>
    <sheet name="Table 10" sheetId="1" r:id="rId1"/>
  </sheets>
  <definedNames>
    <definedName name="_xlnm.Print_Area" localSheetId="0">'Table 10'!$A$1:$O$68</definedName>
    <definedName name="Print_Area_MI">'Table 10'!$A$2:$O$67</definedName>
    <definedName name="_xlnm.Print_Titles" localSheetId="0">'Table 10'!$A:$B</definedName>
  </definedNames>
  <calcPr calcId="145621"/>
</workbook>
</file>

<file path=xl/calcChain.xml><?xml version="1.0" encoding="utf-8"?>
<calcChain xmlns="http://schemas.openxmlformats.org/spreadsheetml/2006/main">
  <c r="L11" i="1" l="1"/>
  <c r="L26" i="1"/>
  <c r="M6" i="1"/>
  <c r="N6" i="1"/>
  <c r="N26" i="1"/>
  <c r="O23" i="1" l="1"/>
  <c r="O21" i="1"/>
  <c r="O14" i="1"/>
  <c r="O12" i="1"/>
  <c r="N68" i="1"/>
  <c r="N22" i="1"/>
  <c r="M68" i="1"/>
  <c r="J68" i="1"/>
  <c r="H68" i="1" l="1"/>
  <c r="G68" i="1"/>
  <c r="F68" i="1" l="1"/>
  <c r="E68" i="1"/>
  <c r="D68" i="1" l="1"/>
  <c r="C68" i="1" l="1"/>
  <c r="N65" i="1"/>
  <c r="M65" i="1" l="1"/>
  <c r="L65" i="1" l="1"/>
  <c r="K65" i="1"/>
  <c r="J65" i="1"/>
  <c r="I65" i="1"/>
  <c r="H65" i="1" l="1"/>
  <c r="G65" i="1" l="1"/>
  <c r="F65" i="1"/>
  <c r="E65" i="1"/>
  <c r="D65" i="1"/>
  <c r="C65" i="1" l="1"/>
  <c r="M60" i="1"/>
  <c r="L60" i="1"/>
  <c r="K60" i="1"/>
  <c r="J60" i="1"/>
  <c r="I60" i="1"/>
  <c r="H60" i="1"/>
  <c r="G60" i="1"/>
  <c r="F60" i="1"/>
  <c r="E60" i="1"/>
  <c r="D60" i="1"/>
  <c r="N57" i="1"/>
  <c r="C57" i="1"/>
  <c r="C60" i="1" s="1"/>
  <c r="N60" i="1" l="1"/>
  <c r="N56" i="1"/>
  <c r="O46" i="1" l="1"/>
  <c r="C45" i="1" l="1"/>
  <c r="Z43" i="1" l="1"/>
  <c r="Y43" i="1"/>
  <c r="X43" i="1" l="1"/>
  <c r="X45" i="1" l="1"/>
  <c r="N40" i="1" l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S37" i="1"/>
  <c r="O37" i="1"/>
  <c r="S36" i="1"/>
  <c r="O36" i="1"/>
  <c r="O39" i="1" l="1"/>
  <c r="S35" i="1"/>
  <c r="O35" i="1"/>
  <c r="S34" i="1"/>
  <c r="O34" i="1" l="1"/>
  <c r="S33" i="1"/>
  <c r="O33" i="1"/>
  <c r="S32" i="1"/>
  <c r="O32" i="1"/>
  <c r="S31" i="1"/>
  <c r="O31" i="1"/>
  <c r="S30" i="1"/>
  <c r="S29" i="1"/>
  <c r="H29" i="1" l="1"/>
  <c r="G29" i="1"/>
  <c r="C29" i="1" l="1"/>
  <c r="S28" i="1"/>
  <c r="K28" i="1" l="1"/>
  <c r="H28" i="1" l="1"/>
  <c r="G28" i="1"/>
  <c r="D28" i="1"/>
  <c r="C28" i="1"/>
  <c r="S27" i="1"/>
  <c r="O27" i="1"/>
  <c r="S26" i="1"/>
  <c r="M26" i="1" l="1"/>
  <c r="M29" i="1" l="1"/>
  <c r="M28" i="1"/>
  <c r="J26" i="1"/>
  <c r="J29" i="1" l="1"/>
  <c r="J28" i="1"/>
  <c r="I26" i="1"/>
  <c r="F26" i="1" l="1"/>
  <c r="E26" i="1"/>
  <c r="S25" i="1"/>
  <c r="Q25" i="1" s="1"/>
  <c r="E28" i="1" l="1"/>
  <c r="O26" i="1"/>
  <c r="N25" i="1"/>
  <c r="S24" i="1"/>
  <c r="Q24" i="1"/>
  <c r="O24" i="1"/>
  <c r="N29" i="1" l="1"/>
  <c r="N28" i="1"/>
  <c r="O25" i="1"/>
  <c r="S23" i="1"/>
  <c r="S22" i="1"/>
  <c r="L22" i="1" l="1"/>
  <c r="L28" i="1" s="1"/>
  <c r="I22" i="1" l="1"/>
  <c r="I28" i="1" s="1"/>
  <c r="F22" i="1"/>
  <c r="O22" i="1" l="1"/>
  <c r="O28" i="1" s="1"/>
  <c r="F29" i="1"/>
  <c r="F28" i="1"/>
  <c r="S21" i="1"/>
  <c r="S20" i="1"/>
  <c r="O20" i="1" l="1"/>
  <c r="S19" i="1"/>
  <c r="O19" i="1"/>
  <c r="S18" i="1"/>
  <c r="L18" i="1"/>
  <c r="K18" i="1"/>
  <c r="K68" i="1" s="1"/>
  <c r="I18" i="1"/>
  <c r="S17" i="1"/>
  <c r="Q22" i="1" s="1"/>
  <c r="O17" i="1"/>
  <c r="S16" i="1"/>
  <c r="O18" i="1" l="1"/>
  <c r="I68" i="1"/>
  <c r="L68" i="1"/>
  <c r="L29" i="1"/>
  <c r="E16" i="1"/>
  <c r="E29" i="1" s="1"/>
  <c r="D16" i="1"/>
  <c r="S15" i="1"/>
  <c r="O15" i="1"/>
  <c r="S14" i="1"/>
  <c r="S13" i="1"/>
  <c r="O13" i="1"/>
  <c r="S12" i="1"/>
  <c r="S11" i="1"/>
  <c r="K11" i="1"/>
  <c r="K29" i="1" s="1"/>
  <c r="I11" i="1"/>
  <c r="S10" i="1"/>
  <c r="O10" i="1"/>
  <c r="N7" i="1"/>
  <c r="N43" i="1" s="1"/>
  <c r="N44" i="1" s="1"/>
  <c r="M7" i="1"/>
  <c r="M43" i="1" s="1"/>
  <c r="M44" i="1" s="1"/>
  <c r="L7" i="1"/>
  <c r="K7" i="1"/>
  <c r="J7" i="1"/>
  <c r="I7" i="1"/>
  <c r="H7" i="1"/>
  <c r="G7" i="1"/>
  <c r="G43" i="1" s="1"/>
  <c r="F7" i="1"/>
  <c r="E7" i="1"/>
  <c r="D7" i="1"/>
  <c r="C7" i="1"/>
  <c r="C43" i="1" s="1"/>
  <c r="C44" i="1" s="1"/>
  <c r="C47" i="1" s="1"/>
  <c r="F43" i="1" l="1"/>
  <c r="E43" i="1" s="1"/>
  <c r="G44" i="1"/>
  <c r="F44" i="1" s="1"/>
  <c r="E44" i="1" s="1"/>
  <c r="O16" i="1"/>
  <c r="D29" i="1"/>
  <c r="L43" i="1"/>
  <c r="L44" i="1" s="1"/>
  <c r="K43" i="1"/>
  <c r="K44" i="1" s="1"/>
  <c r="K41" i="1"/>
  <c r="H43" i="1"/>
  <c r="H44" i="1" s="1"/>
  <c r="H41" i="1"/>
  <c r="O40" i="1" s="1"/>
  <c r="J43" i="1"/>
  <c r="J44" i="1" s="1"/>
  <c r="J41" i="1"/>
  <c r="O11" i="1"/>
  <c r="I29" i="1"/>
  <c r="I41" i="1" s="1"/>
  <c r="S43" i="1"/>
  <c r="S46" i="1" s="1"/>
  <c r="Q26" i="1"/>
  <c r="Q28" i="1" s="1"/>
  <c r="O29" i="1"/>
  <c r="O6" i="1"/>
  <c r="O7" i="1" s="1"/>
  <c r="D45" i="1"/>
  <c r="E45" i="1" s="1"/>
  <c r="I43" i="1" l="1"/>
  <c r="I44" i="1" s="1"/>
  <c r="O43" i="1"/>
  <c r="O44" i="1" s="1"/>
  <c r="D43" i="1"/>
  <c r="D44" i="1" s="1"/>
  <c r="D47" i="1" s="1"/>
  <c r="F45" i="1"/>
  <c r="E47" i="1"/>
  <c r="F47" i="1" l="1"/>
  <c r="G45" i="1"/>
  <c r="H45" i="1" l="1"/>
  <c r="G47" i="1"/>
  <c r="I45" i="1" l="1"/>
  <c r="H47" i="1"/>
  <c r="J45" i="1" l="1"/>
  <c r="I47" i="1"/>
  <c r="J47" i="1" l="1"/>
  <c r="K45" i="1"/>
  <c r="L45" i="1" l="1"/>
  <c r="K47" i="1"/>
  <c r="M45" i="1" l="1"/>
  <c r="L47" i="1"/>
  <c r="N45" i="1" l="1"/>
  <c r="M47" i="1"/>
  <c r="N47" i="1" l="1"/>
  <c r="O45" i="1"/>
  <c r="O47" i="1" s="1"/>
</calcChain>
</file>

<file path=xl/sharedStrings.xml><?xml version="1.0" encoding="utf-8"?>
<sst xmlns="http://schemas.openxmlformats.org/spreadsheetml/2006/main" count="125" uniqueCount="111">
  <si>
    <t>REPORT OF THE LITERARY FUND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</si>
  <si>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</si>
  <si>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</si>
  <si>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</si>
  <si>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</si>
  <si>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</si>
  <si>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</si>
  <si>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</si>
  <si>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</si>
  <si>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</si>
  <si>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</si>
  <si>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</si>
  <si>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YEAR TO DATE</t>
  </si>
  <si>
    <t>BEGINNING FUND BALANCE:</t>
  </si>
  <si>
    <t>CASH &amp; INVESTMENTS</t>
  </si>
  <si>
    <t xml:space="preserve">      TOTAL BEGINNING BALANCE</t>
  </si>
  <si>
    <t>RECEIPTS:</t>
  </si>
  <si>
    <t xml:space="preserve">    REVENUES:</t>
  </si>
  <si>
    <t>INTEREST ON INVESTMENTS</t>
  </si>
  <si>
    <t>INVESTMENT FEES</t>
  </si>
  <si>
    <t xml:space="preserve">INTEREST ON UCP BALANCES </t>
  </si>
  <si>
    <t xml:space="preserve">FINES, FEES AND FORFEITURES </t>
  </si>
  <si>
    <t xml:space="preserve">    TRANSFERS FROM VPSA 1987 GENERAL FUND</t>
  </si>
  <si>
    <t xml:space="preserve">    TRANSFERS IN:</t>
  </si>
  <si>
    <t xml:space="preserve">UNCLAIMED PROPERTY </t>
  </si>
  <si>
    <t xml:space="preserve">INTEREST ON FINES, FORFEITURES </t>
  </si>
  <si>
    <t>ESCHEATS</t>
  </si>
  <si>
    <t>UNCLAIMED LOTTERY PRIZES</t>
  </si>
  <si>
    <t>FINES, FEES AND FORFEITURES</t>
  </si>
  <si>
    <t>MISCELLANEOUS</t>
  </si>
  <si>
    <t xml:space="preserve">      TOTAL TRANSFERS</t>
  </si>
  <si>
    <t xml:space="preserve">      TOTAL RECEIPTS</t>
  </si>
  <si>
    <t>DISBURSEMENTS:</t>
  </si>
  <si>
    <t>INTEREST SUBSIDY PROGRAM (GRANTS)</t>
  </si>
  <si>
    <t>EQUIP TECH PMTS/DEBT SERVICE</t>
  </si>
  <si>
    <t>LOAN DISBURSEMENTS</t>
  </si>
  <si>
    <t>TRANSFERS OUT:</t>
  </si>
  <si>
    <t xml:space="preserve">          TOTAL TRANSFERS OUT</t>
  </si>
  <si>
    <t xml:space="preserve">          TOTAL DISBURSEMENTS</t>
  </si>
  <si>
    <t xml:space="preserve">ENDING BALANCE </t>
  </si>
  <si>
    <t>TOTAL BALANCE</t>
  </si>
  <si>
    <t xml:space="preserve">LESS ENCUMBERED FUNDS </t>
  </si>
  <si>
    <t>ENDING FUND BALANCE</t>
  </si>
  <si>
    <t>TEMPORARY LOANS RECEIVABLE</t>
  </si>
  <si>
    <t>LOANS RECEIVABLE - BEGINNING</t>
  </si>
  <si>
    <t xml:space="preserve">    LOANS RECEIVABLE - ENDING</t>
  </si>
  <si>
    <t xml:space="preserve">      TRANFERS TO GENERAL FUND</t>
  </si>
  <si>
    <t xml:space="preserve">      TRANFERS TO VPSA</t>
  </si>
  <si>
    <t xml:space="preserve">      TRANFERS TO DOE (Teacher Retirement)</t>
  </si>
  <si>
    <t>INTEREST ON PERM LITERARY LOANS</t>
  </si>
  <si>
    <t>INTEREST ON TEMP LITERARY LOANS</t>
  </si>
  <si>
    <t xml:space="preserve">    RECEIPT OF LOAN PRINCIPAL PAYMENTS</t>
  </si>
  <si>
    <t>TAX EXEMPT LOANS</t>
  </si>
  <si>
    <t>TAXABLE LOANS</t>
  </si>
  <si>
    <t xml:space="preserve">    TOTAL PERMANENT LOANS RECEIVABLE</t>
  </si>
  <si>
    <t>loan check figure</t>
  </si>
  <si>
    <t>LOANS CONVERTED TO PERMANENT STATUS</t>
  </si>
  <si>
    <t>LOAN PRINCIPAL PAYDOWN</t>
  </si>
  <si>
    <t>PERMANENT LOANS RECEIVABLE</t>
  </si>
  <si>
    <t>VPSA</t>
  </si>
  <si>
    <t>Regulatory Board Application Fees</t>
  </si>
  <si>
    <t>Regulatory Board Monetary Penalty &amp; Late Fees</t>
  </si>
  <si>
    <t>Interest on Literary Fund</t>
  </si>
  <si>
    <t>Interest From Other Sources</t>
  </si>
  <si>
    <t>Fines, Fort, Courts Fees Costs Penalties</t>
  </si>
  <si>
    <t>Processing Fees</t>
  </si>
  <si>
    <t>Criminal History Fee</t>
  </si>
  <si>
    <t>Bad Check Fee</t>
  </si>
  <si>
    <t>Fines Imposed by Industrial Commission</t>
  </si>
  <si>
    <t>Fines Imposed by State Corporation Commission</t>
  </si>
  <si>
    <t>Court Technology Fee</t>
  </si>
  <si>
    <t>Civil Penalties/Charges-Environmental Pollution</t>
  </si>
  <si>
    <t>Pay to Circuit Court Clerks for Commission</t>
  </si>
  <si>
    <t>For Deficiency of Guarantee Dep Agric</t>
  </si>
  <si>
    <t>From Recipients of Commodity Distribution</t>
  </si>
  <si>
    <t>Civil Penalties for Licensure Violations</t>
  </si>
  <si>
    <t>Property Escheated by Appointed Escheater</t>
  </si>
  <si>
    <t>Other Revenue</t>
  </si>
  <si>
    <t>Proceeds From Unclaimed Property</t>
  </si>
  <si>
    <t>Proceeds From Unclaimed Lottery Prizes</t>
  </si>
  <si>
    <t>Miscellaneous Revenues</t>
  </si>
  <si>
    <t>Total</t>
  </si>
  <si>
    <t>Copy this data to CM</t>
  </si>
  <si>
    <t>column and Paste Values</t>
  </si>
  <si>
    <t>Copy this data from the .pdf file sent by DOA (some maniputlation will be necessary)</t>
  </si>
  <si>
    <t>Miscellaneous Licenses, Permits &amp; Fees</t>
  </si>
  <si>
    <t>Private Security Firm Regulatory Fees</t>
  </si>
  <si>
    <t>Interest on DelinquentTaxes</t>
  </si>
  <si>
    <t>Interest- Fines, Forteitures</t>
  </si>
  <si>
    <t>Fines and Forteited Recognizances 2:c21</t>
  </si>
  <si>
    <t>Forteited Property</t>
  </si>
  <si>
    <t>Ref-Expense &amp; Mise Disb Made Prior</t>
  </si>
  <si>
    <t>(Convert .pdf file to recognize text; copy each column separately)</t>
  </si>
  <si>
    <t>Cash Transfer In- Non GF AGY 999</t>
  </si>
  <si>
    <t>Cash Transfer Out- Treas TR AGY 999</t>
  </si>
  <si>
    <t>(Jun 2nd trf .pdf data)</t>
  </si>
  <si>
    <t>(Jun "true-up" .pdf data)</t>
  </si>
  <si>
    <t>MISCELLANEOUS REVENUE</t>
  </si>
  <si>
    <t>(October .pdf data)</t>
  </si>
  <si>
    <t>Cash transfer in - Non GF AGY 222</t>
  </si>
  <si>
    <t xml:space="preserve">    DEFERRED REVENUE; FINES</t>
  </si>
  <si>
    <t>LESS DEFERRED REVENUE</t>
  </si>
  <si>
    <t>(a) Based on CARS preliminary close reports</t>
  </si>
  <si>
    <t xml:space="preserve">     JUNE </t>
  </si>
  <si>
    <t>FISCAL YEAR 2016</t>
  </si>
  <si>
    <t>Cardinal AGY (222) Payable</t>
  </si>
  <si>
    <t>Cardinal AGY (154) Payable</t>
  </si>
  <si>
    <t xml:space="preserve">     JUNE</t>
  </si>
  <si>
    <t>Source: Virginia Department of Treasury</t>
  </si>
  <si>
    <t>Fiscal Year 2016</t>
  </si>
  <si>
    <t>Report of The Literary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</si>
</sst>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;;;"/>
    <numFmt numFmtId="165" formatCode="_(* #,##0_);[Red]_(* \(#,##0\);_(* &quot;-&quot;_);_(@_)"/>
    <numFmt numFmtId="166" formatCode="_(* #,##0.00_);[Red]_(* \(#,##0.00\);_(* &quot;-&quot;_);_(@_)"/>
  </numFmts>
  <fonts count="28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indexed="16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7" applyNumberFormat="0" applyAlignment="0" applyProtection="0"/>
    <xf numFmtId="0" fontId="12" fillId="8" borderId="8" applyNumberFormat="0" applyAlignment="0" applyProtection="0"/>
    <xf numFmtId="0" fontId="13" fillId="8" borderId="7" applyNumberFormat="0" applyAlignment="0" applyProtection="0"/>
    <xf numFmtId="0" fontId="14" fillId="0" borderId="9" applyNumberFormat="0" applyFill="0" applyAlignment="0" applyProtection="0"/>
    <xf numFmtId="0" fontId="15" fillId="9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</cellStyleXfs>
  <cellXfs count="92">
    <xf numFmtId="0" fontId="0" fillId="0" borderId="0" xfId="0"/>
    <xf numFmtId="0" fontId="20" fillId="0" borderId="0" xfId="0" applyFont="1"/>
    <xf numFmtId="0" fontId="20" fillId="0" borderId="0" xfId="0" applyFont="1" applyFill="1" applyProtection="1">
      <protection locked="0" hidden="1"/>
    </xf>
    <xf numFmtId="42" fontId="20" fillId="0" borderId="0" xfId="0" applyNumberFormat="1" applyFont="1" applyFill="1" applyProtection="1">
      <protection locked="0" hidden="1"/>
    </xf>
    <xf numFmtId="0" fontId="20" fillId="0" borderId="0" xfId="0" applyFont="1" applyFill="1"/>
    <xf numFmtId="0" fontId="21" fillId="0" borderId="0" xfId="0" applyFont="1"/>
    <xf numFmtId="165" fontId="20" fillId="0" borderId="0" xfId="1" applyFont="1"/>
    <xf numFmtId="166" fontId="20" fillId="0" borderId="0" xfId="1" applyNumberFormat="1" applyFont="1"/>
    <xf numFmtId="165" fontId="21" fillId="0" borderId="0" xfId="1" applyFont="1"/>
    <xf numFmtId="165" fontId="21" fillId="3" borderId="0" xfId="1" applyFont="1" applyFill="1"/>
    <xf numFmtId="39" fontId="20" fillId="0" borderId="0" xfId="0" quotePrefix="1" applyNumberFormat="1" applyFont="1" applyAlignment="1" applyProtection="1">
      <alignment horizontal="left"/>
    </xf>
    <xf numFmtId="1" fontId="20" fillId="0" borderId="0" xfId="0" applyNumberFormat="1" applyFont="1" applyFill="1"/>
    <xf numFmtId="1" fontId="20" fillId="0" borderId="0" xfId="0" applyNumberFormat="1" applyFont="1"/>
    <xf numFmtId="165" fontId="20" fillId="0" borderId="0" xfId="0" applyNumberFormat="1" applyFont="1"/>
    <xf numFmtId="39" fontId="20" fillId="0" borderId="0" xfId="0" applyNumberFormat="1" applyFont="1" applyFill="1" applyAlignment="1" applyProtection="1">
      <alignment horizontal="center"/>
    </xf>
    <xf numFmtId="39" fontId="20" fillId="0" borderId="0" xfId="0" quotePrefix="1" applyNumberFormat="1" applyFont="1" applyAlignment="1" applyProtection="1">
      <alignment horizontal="center"/>
    </xf>
    <xf numFmtId="0" fontId="20" fillId="0" borderId="0" xfId="0" applyFont="1" applyAlignment="1">
      <alignment horizontal="center"/>
    </xf>
    <xf numFmtId="39" fontId="20" fillId="0" borderId="0" xfId="0" applyNumberFormat="1" applyFont="1" applyAlignment="1" applyProtection="1">
      <alignment horizontal="center"/>
    </xf>
    <xf numFmtId="39" fontId="20" fillId="0" borderId="0" xfId="0" quotePrefix="1" applyNumberFormat="1" applyFont="1" applyFill="1" applyAlignment="1" applyProtection="1">
      <alignment horizontal="center"/>
    </xf>
    <xf numFmtId="39" fontId="20" fillId="0" borderId="0" xfId="0" applyNumberFormat="1" applyFont="1" applyFill="1" applyAlignment="1" applyProtection="1">
      <alignment horizontal="left"/>
    </xf>
    <xf numFmtId="37" fontId="20" fillId="0" borderId="0" xfId="0" applyNumberFormat="1" applyFont="1" applyFill="1" applyProtection="1"/>
    <xf numFmtId="165" fontId="20" fillId="0" borderId="0" xfId="1" applyFont="1" applyFill="1" applyProtection="1"/>
    <xf numFmtId="0" fontId="21" fillId="0" borderId="0" xfId="0" applyFont="1" applyFill="1"/>
    <xf numFmtId="165" fontId="20" fillId="0" borderId="0" xfId="1" applyFont="1" applyFill="1"/>
    <xf numFmtId="166" fontId="20" fillId="0" borderId="0" xfId="1" applyNumberFormat="1" applyFont="1" applyFill="1"/>
    <xf numFmtId="165" fontId="21" fillId="0" borderId="0" xfId="1" applyFont="1" applyFill="1"/>
    <xf numFmtId="5" fontId="21" fillId="0" borderId="0" xfId="0" applyNumberFormat="1" applyFont="1" applyFill="1"/>
    <xf numFmtId="5" fontId="20" fillId="0" borderId="0" xfId="0" quotePrefix="1" applyNumberFormat="1" applyFont="1" applyFill="1" applyAlignment="1" applyProtection="1">
      <alignment horizontal="left"/>
    </xf>
    <xf numFmtId="42" fontId="20" fillId="0" borderId="1" xfId="0" applyNumberFormat="1" applyFont="1" applyFill="1" applyBorder="1" applyProtection="1"/>
    <xf numFmtId="5" fontId="20" fillId="0" borderId="0" xfId="0" applyNumberFormat="1" applyFont="1" applyFill="1"/>
    <xf numFmtId="165" fontId="20" fillId="0" borderId="1" xfId="1" applyFont="1" applyFill="1" applyBorder="1" applyProtection="1"/>
    <xf numFmtId="165" fontId="20" fillId="0" borderId="0" xfId="1" quotePrefix="1" applyFont="1" applyFill="1" applyAlignment="1">
      <alignment horizontal="left"/>
    </xf>
    <xf numFmtId="165" fontId="21" fillId="0" borderId="0" xfId="1" quotePrefix="1" applyFont="1" applyFill="1" applyAlignment="1">
      <alignment horizontal="left"/>
    </xf>
    <xf numFmtId="39" fontId="20" fillId="0" borderId="0" xfId="0" quotePrefix="1" applyNumberFormat="1" applyFont="1" applyFill="1" applyAlignment="1" applyProtection="1">
      <alignment horizontal="left"/>
    </xf>
    <xf numFmtId="165" fontId="21" fillId="0" borderId="0" xfId="0" applyNumberFormat="1" applyFont="1" applyFill="1"/>
    <xf numFmtId="39" fontId="20" fillId="0" borderId="0" xfId="0" quotePrefix="1" applyNumberFormat="1" applyFont="1" applyFill="1" applyBorder="1" applyAlignment="1" applyProtection="1">
      <alignment horizontal="left"/>
    </xf>
    <xf numFmtId="165" fontId="20" fillId="3" borderId="0" xfId="1" applyFont="1" applyFill="1"/>
    <xf numFmtId="37" fontId="20" fillId="0" borderId="0" xfId="0" applyNumberFormat="1" applyFont="1" applyFill="1"/>
    <xf numFmtId="37" fontId="21" fillId="0" borderId="0" xfId="0" applyNumberFormat="1" applyFont="1" applyFill="1"/>
    <xf numFmtId="37" fontId="20" fillId="0" borderId="0" xfId="0" applyNumberFormat="1" applyFont="1" applyFill="1" applyAlignment="1" applyProtection="1">
      <alignment horizontal="left"/>
    </xf>
    <xf numFmtId="3" fontId="20" fillId="0" borderId="0" xfId="0" applyNumberFormat="1" applyFont="1" applyFill="1"/>
    <xf numFmtId="165" fontId="20" fillId="0" borderId="0" xfId="1" quotePrefix="1" applyFont="1" applyFill="1" applyAlignment="1" applyProtection="1">
      <alignment horizontal="right"/>
    </xf>
    <xf numFmtId="165" fontId="20" fillId="0" borderId="0" xfId="1" quotePrefix="1" applyFont="1" applyFill="1" applyBorder="1" applyAlignment="1" applyProtection="1">
      <alignment horizontal="right"/>
    </xf>
    <xf numFmtId="165" fontId="20" fillId="0" borderId="0" xfId="1" applyFont="1" applyFill="1" applyAlignment="1" applyProtection="1">
      <alignment horizontal="right"/>
    </xf>
    <xf numFmtId="165" fontId="20" fillId="0" borderId="0" xfId="1" applyFont="1" applyFill="1" applyBorder="1" applyProtection="1"/>
    <xf numFmtId="165" fontId="20" fillId="0" borderId="1" xfId="1" quotePrefix="1" applyFont="1" applyFill="1" applyBorder="1" applyAlignment="1" applyProtection="1">
      <alignment horizontal="right"/>
    </xf>
    <xf numFmtId="165" fontId="21" fillId="0" borderId="1" xfId="1" applyFont="1" applyFill="1" applyBorder="1"/>
    <xf numFmtId="165" fontId="20" fillId="0" borderId="3" xfId="1" applyFont="1" applyFill="1" applyBorder="1" applyProtection="1"/>
    <xf numFmtId="37" fontId="20" fillId="0" borderId="0" xfId="0" quotePrefix="1" applyNumberFormat="1" applyFont="1" applyAlignment="1">
      <alignment horizontal="right"/>
    </xf>
    <xf numFmtId="37" fontId="20" fillId="0" borderId="0" xfId="0" applyNumberFormat="1" applyFont="1"/>
    <xf numFmtId="37" fontId="21" fillId="0" borderId="0" xfId="0" applyNumberFormat="1" applyFont="1"/>
    <xf numFmtId="37" fontId="20" fillId="0" borderId="0" xfId="0" quotePrefix="1" applyNumberFormat="1" applyFont="1" applyFill="1" applyAlignment="1" applyProtection="1">
      <alignment horizontal="left"/>
    </xf>
    <xf numFmtId="164" fontId="20" fillId="0" borderId="0" xfId="0" applyNumberFormat="1" applyFont="1" applyFill="1" applyProtection="1">
      <protection hidden="1"/>
    </xf>
    <xf numFmtId="164" fontId="20" fillId="0" borderId="0" xfId="0" applyNumberFormat="1" applyFont="1" applyFill="1" applyProtection="1">
      <protection locked="0" hidden="1"/>
    </xf>
    <xf numFmtId="164" fontId="20" fillId="0" borderId="0" xfId="0" applyNumberFormat="1" applyFont="1" applyFill="1" applyProtection="1">
      <protection locked="0"/>
    </xf>
    <xf numFmtId="165" fontId="20" fillId="0" borderId="0" xfId="1" applyFont="1" applyFill="1" applyProtection="1">
      <protection locked="0" hidden="1"/>
    </xf>
    <xf numFmtId="39" fontId="20" fillId="0" borderId="0" xfId="0" applyNumberFormat="1" applyFont="1" applyAlignment="1" applyProtection="1">
      <alignment horizontal="left"/>
    </xf>
    <xf numFmtId="37" fontId="20" fillId="0" borderId="0" xfId="0" quotePrefix="1" applyNumberFormat="1" applyFont="1" applyFill="1" applyAlignment="1">
      <alignment horizontal="right"/>
    </xf>
    <xf numFmtId="166" fontId="20" fillId="0" borderId="2" xfId="1" applyNumberFormat="1" applyFont="1" applyFill="1" applyBorder="1"/>
    <xf numFmtId="165" fontId="21" fillId="0" borderId="2" xfId="1" applyFont="1" applyFill="1" applyBorder="1"/>
    <xf numFmtId="0" fontId="21" fillId="0" borderId="0" xfId="0" applyFont="1" applyBorder="1"/>
    <xf numFmtId="42" fontId="20" fillId="0" borderId="2" xfId="0" applyNumberFormat="1" applyFont="1" applyFill="1" applyBorder="1" applyProtection="1"/>
    <xf numFmtId="42" fontId="20" fillId="0" borderId="0" xfId="0" applyNumberFormat="1" applyFont="1" applyFill="1" applyBorder="1" applyProtection="1"/>
    <xf numFmtId="165" fontId="22" fillId="0" borderId="0" xfId="1" applyFont="1"/>
    <xf numFmtId="0" fontId="22" fillId="0" borderId="0" xfId="0" applyFont="1"/>
    <xf numFmtId="0" fontId="20" fillId="0" borderId="0" xfId="0" quotePrefix="1" applyFont="1" applyAlignment="1">
      <alignment horizontal="left"/>
    </xf>
    <xf numFmtId="0" fontId="23" fillId="0" borderId="0" xfId="0" applyFont="1" applyFill="1"/>
    <xf numFmtId="42" fontId="23" fillId="0" borderId="0" xfId="0" applyNumberFormat="1" applyFont="1" applyFill="1" applyBorder="1" applyProtection="1"/>
    <xf numFmtId="0" fontId="23" fillId="0" borderId="0" xfId="0" applyFont="1"/>
    <xf numFmtId="166" fontId="23" fillId="0" borderId="0" xfId="1" applyNumberFormat="1" applyFont="1"/>
    <xf numFmtId="165" fontId="22" fillId="3" borderId="0" xfId="1" applyFont="1" applyFill="1"/>
    <xf numFmtId="5" fontId="20" fillId="0" borderId="0" xfId="0" applyNumberFormat="1" applyFont="1" applyFill="1" applyBorder="1" applyProtection="1"/>
    <xf numFmtId="165" fontId="20" fillId="0" borderId="0" xfId="0" applyNumberFormat="1" applyFont="1" applyFill="1" applyBorder="1" applyProtection="1"/>
    <xf numFmtId="165" fontId="23" fillId="0" borderId="0" xfId="1" applyFont="1"/>
    <xf numFmtId="3" fontId="20" fillId="0" borderId="0" xfId="0" applyNumberFormat="1" applyFont="1" applyFill="1" applyAlignment="1">
      <alignment horizontal="center"/>
    </xf>
    <xf numFmtId="42" fontId="20" fillId="0" borderId="0" xfId="0" applyNumberFormat="1" applyFont="1" applyFill="1" applyProtection="1"/>
    <xf numFmtId="37" fontId="20" fillId="0" borderId="0" xfId="0" applyNumberFormat="1" applyFont="1" applyFill="1" applyBorder="1" applyProtection="1"/>
    <xf numFmtId="5" fontId="20" fillId="0" borderId="0" xfId="0" applyNumberFormat="1" applyFont="1" applyFill="1" applyBorder="1"/>
    <xf numFmtId="37" fontId="20" fillId="0" borderId="1" xfId="0" applyNumberFormat="1" applyFont="1" applyFill="1" applyBorder="1" applyProtection="1"/>
    <xf numFmtId="5" fontId="20" fillId="0" borderId="2" xfId="0" applyNumberFormat="1" applyFont="1" applyFill="1" applyBorder="1" applyProtection="1"/>
    <xf numFmtId="37" fontId="20" fillId="0" borderId="0" xfId="0" applyNumberFormat="1" applyFont="1" applyBorder="1" applyProtection="1"/>
    <xf numFmtId="37" fontId="20" fillId="0" borderId="0" xfId="0" applyNumberFormat="1" applyFont="1" applyProtection="1"/>
    <xf numFmtId="3" fontId="20" fillId="0" borderId="0" xfId="0" applyNumberFormat="1" applyFont="1"/>
    <xf numFmtId="39" fontId="20" fillId="2" borderId="0" xfId="0" applyNumberFormat="1" applyFont="1" applyFill="1" applyAlignment="1" applyProtection="1">
      <alignment horizontal="left"/>
    </xf>
    <xf numFmtId="166" fontId="20" fillId="2" borderId="0" xfId="1" applyNumberFormat="1" applyFont="1" applyFill="1" applyProtection="1"/>
    <xf numFmtId="37" fontId="21" fillId="0" borderId="0" xfId="0" applyNumberFormat="1" applyFont="1" applyProtection="1"/>
    <xf numFmtId="37" fontId="21" fillId="0" borderId="0" xfId="0" applyNumberFormat="1" applyFont="1" applyFill="1" applyProtection="1"/>
    <xf numFmtId="37" fontId="20" fillId="0" borderId="0" xfId="0" applyNumberFormat="1" applyFont="1" applyAlignment="1" applyProtection="1">
      <alignment horizontal="right" vertical="top"/>
    </xf>
    <xf numFmtId="37" fontId="20" fillId="0" borderId="0" xfId="0" applyNumberFormat="1" applyFont="1" applyFill="1" applyAlignment="1" applyProtection="1">
      <alignment horizontal="right" vertical="top"/>
    </xf>
    <xf numFmtId="0" fontId="25" fillId="0" borderId="0" xfId="0" applyFont="1"/>
    <xf numFmtId="0" fontId="26" fillId="0" borderId="0" xfId="42" applyFont="1" applyBorder="1" applyAlignment="1">
      <alignment vertical="center"/>
    </xf>
    <xf numFmtId="0" fontId="27" fillId="0" borderId="0" xfId="42" applyFont="1" applyBorder="1" applyAlignment="1">
      <alignment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3" xfId="42"/>
    <cellStyle name="Note 2" xfId="45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6"/>
  <sheetViews>
    <sheetView showGridLine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ColWidth="13.69921875" defaultRowHeight="15" x14ac:dyDescent="0.25"/>
  <cols>
    <col min="1" max="1" width="4.19921875" style="5" customWidth="1"/>
    <col min="2" max="2" width="33.19921875" style="5" bestFit="1" customWidth="1"/>
    <col min="3" max="3" width="11" style="22" customWidth="1"/>
    <col min="4" max="4" width="11.69921875" style="22" bestFit="1" customWidth="1"/>
    <col min="5" max="5" width="11.69921875" style="5" customWidth="1"/>
    <col min="6" max="6" width="12" style="22" bestFit="1" customWidth="1"/>
    <col min="7" max="7" width="10.69921875" style="5" customWidth="1"/>
    <col min="8" max="8" width="11" style="5" customWidth="1"/>
    <col min="9" max="10" width="10.09765625" style="5" customWidth="1"/>
    <col min="11" max="12" width="11.19921875" style="5" customWidth="1"/>
    <col min="13" max="13" width="10.09765625" style="5" customWidth="1"/>
    <col min="14" max="14" width="12.69921875" style="22" customWidth="1"/>
    <col min="15" max="15" width="12" style="5" customWidth="1"/>
    <col min="16" max="16" width="13.69921875" style="5" customWidth="1"/>
    <col min="17" max="17" width="13.69921875" style="6"/>
    <col min="18" max="18" width="13.69921875" style="1"/>
    <col min="19" max="19" width="13.69921875" style="7"/>
    <col min="20" max="20" width="13.69921875" style="1"/>
    <col min="21" max="21" width="13.69921875" style="5"/>
    <col min="22" max="22" width="0" style="5" hidden="1" customWidth="1"/>
    <col min="23" max="23" width="13.69921875" style="8" hidden="1" customWidth="1"/>
    <col min="24" max="24" width="16" style="9" bestFit="1" customWidth="1"/>
    <col min="25" max="25" width="18.8984375" style="8" bestFit="1" customWidth="1"/>
    <col min="26" max="26" width="20.69921875" style="8" bestFit="1" customWidth="1"/>
    <col min="27" max="16384" width="13.69921875" style="5"/>
  </cols>
  <sheetData>
    <row r="1" spans="1:27" x14ac:dyDescent="0.25">
      <c r="A1" s="90" t="s">
        <v>110</v>
      </c>
    </row>
    <row r="2" spans="1:27" x14ac:dyDescent="0.25">
      <c r="A2" s="89" t="s">
        <v>108</v>
      </c>
      <c r="B2" s="1"/>
      <c r="C2" s="2"/>
      <c r="D2" s="3"/>
      <c r="E2" s="3"/>
      <c r="F2" s="4"/>
      <c r="G2" s="4"/>
      <c r="H2" s="4"/>
      <c r="I2" s="4"/>
      <c r="J2" s="1"/>
      <c r="K2" s="1"/>
      <c r="M2" s="1"/>
      <c r="N2" s="4"/>
      <c r="O2" s="1"/>
    </row>
    <row r="3" spans="1:27" x14ac:dyDescent="0.25">
      <c r="A3" s="91" t="s">
        <v>109</v>
      </c>
      <c r="B3" s="1"/>
      <c r="C3" s="4"/>
      <c r="D3" s="11"/>
      <c r="E3" s="12"/>
      <c r="F3" s="4"/>
      <c r="G3" s="1"/>
      <c r="H3" s="1"/>
      <c r="I3" s="1"/>
      <c r="J3" s="13"/>
      <c r="K3" s="1"/>
      <c r="L3" s="1"/>
      <c r="M3" s="1"/>
      <c r="N3" s="4"/>
      <c r="O3" s="1"/>
    </row>
    <row r="4" spans="1:27" x14ac:dyDescent="0.25">
      <c r="A4" s="1"/>
      <c r="C4" s="14" t="s">
        <v>1</v>
      </c>
      <c r="D4" s="14" t="s">
        <v>2</v>
      </c>
      <c r="E4" s="15" t="s">
        <v>3</v>
      </c>
      <c r="F4" s="14" t="s">
        <v>4</v>
      </c>
      <c r="G4" s="16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5" t="s">
        <v>10</v>
      </c>
      <c r="M4" s="15" t="s">
        <v>11</v>
      </c>
      <c r="N4" s="18" t="s">
        <v>107</v>
      </c>
      <c r="O4" s="17" t="s">
        <v>12</v>
      </c>
    </row>
    <row r="5" spans="1:27" s="22" customFormat="1" x14ac:dyDescent="0.25">
      <c r="A5" s="19" t="s">
        <v>13</v>
      </c>
      <c r="B5" s="4"/>
      <c r="C5" s="20"/>
      <c r="D5" s="20"/>
      <c r="E5" s="20"/>
      <c r="F5" s="20"/>
      <c r="G5" s="4"/>
      <c r="H5" s="20"/>
      <c r="I5" s="20"/>
      <c r="J5" s="20"/>
      <c r="K5" s="20"/>
      <c r="L5" s="21"/>
      <c r="M5" s="21"/>
      <c r="N5" s="21"/>
      <c r="O5" s="20"/>
      <c r="Q5" s="23"/>
      <c r="R5" s="4"/>
      <c r="S5" s="24"/>
      <c r="T5" s="4"/>
      <c r="W5" s="25"/>
      <c r="X5" s="9"/>
      <c r="Y5" s="25"/>
      <c r="Z5" s="25"/>
    </row>
    <row r="6" spans="1:27" s="26" customFormat="1" x14ac:dyDescent="0.25">
      <c r="B6" s="27" t="s">
        <v>14</v>
      </c>
      <c r="C6" s="28">
        <v>8381628</v>
      </c>
      <c r="D6" s="28">
        <v>12777362</v>
      </c>
      <c r="E6" s="28">
        <v>22277599</v>
      </c>
      <c r="F6" s="28">
        <v>61352343</v>
      </c>
      <c r="G6" s="28">
        <v>66260650</v>
      </c>
      <c r="H6" s="28">
        <v>68390848</v>
      </c>
      <c r="I6" s="28">
        <v>75218797</v>
      </c>
      <c r="J6" s="28">
        <v>84225436</v>
      </c>
      <c r="K6" s="28">
        <v>120928935</v>
      </c>
      <c r="L6" s="28">
        <v>128739924</v>
      </c>
      <c r="M6" s="28">
        <f>130290232</f>
        <v>130290232</v>
      </c>
      <c r="N6" s="28">
        <f>308416225</f>
        <v>308416225</v>
      </c>
      <c r="O6" s="28">
        <f>+C6</f>
        <v>8381628</v>
      </c>
      <c r="Q6" s="23"/>
      <c r="R6" s="29"/>
      <c r="S6" s="24"/>
      <c r="T6" s="29"/>
      <c r="W6" s="25"/>
      <c r="X6" s="9"/>
      <c r="Y6" s="25"/>
      <c r="Z6" s="25"/>
    </row>
    <row r="7" spans="1:27" s="22" customFormat="1" x14ac:dyDescent="0.25">
      <c r="B7" s="19" t="s">
        <v>15</v>
      </c>
      <c r="C7" s="30">
        <f>SUM(C6:C6)</f>
        <v>8381628</v>
      </c>
      <c r="D7" s="30">
        <f>SUM(D6:D6)</f>
        <v>12777362</v>
      </c>
      <c r="E7" s="30">
        <f>SUM(E6:E6)</f>
        <v>22277599</v>
      </c>
      <c r="F7" s="30">
        <f t="shared" ref="F7:N7" si="0">SUM(F6:F6)</f>
        <v>61352343</v>
      </c>
      <c r="G7" s="30">
        <f t="shared" si="0"/>
        <v>66260650</v>
      </c>
      <c r="H7" s="30">
        <f t="shared" si="0"/>
        <v>68390848</v>
      </c>
      <c r="I7" s="30">
        <f t="shared" si="0"/>
        <v>75218797</v>
      </c>
      <c r="J7" s="30">
        <f t="shared" si="0"/>
        <v>84225436</v>
      </c>
      <c r="K7" s="30">
        <f t="shared" si="0"/>
        <v>120928935</v>
      </c>
      <c r="L7" s="30">
        <f t="shared" si="0"/>
        <v>128739924</v>
      </c>
      <c r="M7" s="30">
        <f t="shared" si="0"/>
        <v>130290232</v>
      </c>
      <c r="N7" s="30">
        <f t="shared" si="0"/>
        <v>308416225</v>
      </c>
      <c r="O7" s="30">
        <f>SUM(O6:O6)</f>
        <v>8381628</v>
      </c>
      <c r="Q7" s="23"/>
      <c r="R7" s="4"/>
      <c r="S7" s="24" t="s">
        <v>84</v>
      </c>
      <c r="T7" s="4"/>
      <c r="W7" s="25"/>
      <c r="X7" s="9"/>
      <c r="Y7" s="25"/>
      <c r="Z7" s="25"/>
    </row>
    <row r="8" spans="1:27" s="22" customFormat="1" x14ac:dyDescent="0.25">
      <c r="A8" s="19" t="s">
        <v>16</v>
      </c>
      <c r="B8" s="4"/>
      <c r="C8" s="21"/>
      <c r="D8" s="21"/>
      <c r="E8" s="21"/>
      <c r="F8" s="21"/>
      <c r="G8" s="23"/>
      <c r="H8" s="21"/>
      <c r="I8" s="21"/>
      <c r="J8" s="21"/>
      <c r="K8" s="21"/>
      <c r="L8" s="21"/>
      <c r="M8" s="21"/>
      <c r="N8" s="21"/>
      <c r="O8" s="21"/>
      <c r="Q8" s="31" t="s">
        <v>82</v>
      </c>
      <c r="R8" s="4"/>
      <c r="S8" s="24" t="s">
        <v>92</v>
      </c>
      <c r="T8" s="4"/>
      <c r="W8" s="25"/>
      <c r="X8" s="9" t="s">
        <v>98</v>
      </c>
      <c r="Y8" s="32" t="s">
        <v>95</v>
      </c>
      <c r="Z8" s="32" t="s">
        <v>96</v>
      </c>
    </row>
    <row r="9" spans="1:27" s="22" customFormat="1" x14ac:dyDescent="0.25">
      <c r="A9" s="33" t="s">
        <v>17</v>
      </c>
      <c r="B9" s="4"/>
      <c r="C9" s="21"/>
      <c r="D9" s="21"/>
      <c r="E9" s="21"/>
      <c r="F9" s="21"/>
      <c r="G9" s="23"/>
      <c r="H9" s="21"/>
      <c r="I9" s="21"/>
      <c r="J9" s="21"/>
      <c r="K9" s="21"/>
      <c r="L9" s="21"/>
      <c r="M9" s="21"/>
      <c r="N9" s="21"/>
      <c r="O9" s="21"/>
      <c r="Q9" s="31" t="s">
        <v>83</v>
      </c>
      <c r="R9" s="4"/>
      <c r="S9" s="24"/>
      <c r="T9" s="4"/>
      <c r="W9" s="25"/>
      <c r="X9" s="9"/>
      <c r="Y9" s="25"/>
      <c r="Z9" s="25"/>
    </row>
    <row r="10" spans="1:27" s="22" customFormat="1" x14ac:dyDescent="0.25">
      <c r="B10" s="33" t="s">
        <v>50</v>
      </c>
      <c r="C10" s="21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>
        <f t="shared" ref="O10:O15" si="1">SUM(C10:N10)</f>
        <v>0</v>
      </c>
      <c r="Q10" s="23"/>
      <c r="R10" s="4">
        <v>2199</v>
      </c>
      <c r="S10" s="24">
        <f>+X10</f>
        <v>0</v>
      </c>
      <c r="T10" s="4" t="s">
        <v>85</v>
      </c>
      <c r="W10" s="25"/>
      <c r="X10" s="9"/>
      <c r="Y10" s="25"/>
      <c r="Z10" s="25"/>
      <c r="AA10" s="34"/>
    </row>
    <row r="11" spans="1:27" s="22" customFormat="1" x14ac:dyDescent="0.25">
      <c r="B11" s="33" t="s">
        <v>49</v>
      </c>
      <c r="C11" s="21">
        <v>838014</v>
      </c>
      <c r="D11" s="21">
        <v>223571</v>
      </c>
      <c r="E11" s="21">
        <v>352706</v>
      </c>
      <c r="F11" s="21">
        <v>259515</v>
      </c>
      <c r="G11" s="21">
        <v>290192</v>
      </c>
      <c r="H11" s="21">
        <v>294049</v>
      </c>
      <c r="I11" s="21">
        <f>490907+78750</f>
        <v>569657</v>
      </c>
      <c r="J11" s="21">
        <v>129608</v>
      </c>
      <c r="K11" s="21">
        <f>144177+52500</f>
        <v>196677</v>
      </c>
      <c r="L11" s="21">
        <f>103269+45836-0.45</f>
        <v>149104.54999999999</v>
      </c>
      <c r="M11" s="21">
        <v>16884</v>
      </c>
      <c r="N11" s="21">
        <v>80909</v>
      </c>
      <c r="O11" s="21">
        <f>SUM(C11:N11)</f>
        <v>3400886.55</v>
      </c>
      <c r="Q11" s="23"/>
      <c r="R11" s="4">
        <v>2041</v>
      </c>
      <c r="S11" s="24">
        <f t="shared" ref="S11:S36" si="2">+X11</f>
        <v>0</v>
      </c>
      <c r="T11" s="4" t="s">
        <v>60</v>
      </c>
      <c r="W11" s="25"/>
      <c r="X11" s="9"/>
      <c r="Y11" s="25"/>
      <c r="Z11" s="25"/>
      <c r="AA11" s="34"/>
    </row>
    <row r="12" spans="1:27" s="22" customFormat="1" ht="15" customHeight="1" x14ac:dyDescent="0.25">
      <c r="B12" s="33" t="s">
        <v>18</v>
      </c>
      <c r="C12" s="21"/>
      <c r="D12" s="21"/>
      <c r="E12" s="21"/>
      <c r="F12" s="21">
        <v>28678</v>
      </c>
      <c r="G12" s="21"/>
      <c r="I12" s="21">
        <v>138002</v>
      </c>
      <c r="J12" s="21"/>
      <c r="K12" s="21"/>
      <c r="L12" s="21">
        <v>196001</v>
      </c>
      <c r="M12" s="21"/>
      <c r="N12" s="21">
        <v>302645</v>
      </c>
      <c r="O12" s="21">
        <f>SUM(C12:N12)</f>
        <v>665326</v>
      </c>
      <c r="Q12" s="23"/>
      <c r="R12" s="4">
        <v>2410</v>
      </c>
      <c r="S12" s="24">
        <f t="shared" si="2"/>
        <v>0</v>
      </c>
      <c r="T12" s="4" t="s">
        <v>86</v>
      </c>
      <c r="W12" s="25"/>
      <c r="X12" s="9"/>
      <c r="Y12" s="25"/>
      <c r="Z12" s="25"/>
      <c r="AA12" s="34"/>
    </row>
    <row r="13" spans="1:27" s="22" customFormat="1" ht="15.75" customHeight="1" x14ac:dyDescent="0.25">
      <c r="B13" s="19" t="s">
        <v>97</v>
      </c>
      <c r="C13" s="21"/>
      <c r="D13" s="21"/>
      <c r="E13" s="21"/>
      <c r="F13" s="21"/>
      <c r="G13" s="21"/>
      <c r="I13" s="21"/>
      <c r="J13" s="21"/>
      <c r="K13" s="21"/>
      <c r="L13" s="21"/>
      <c r="M13" s="21"/>
      <c r="N13" s="21"/>
      <c r="O13" s="21">
        <f t="shared" si="1"/>
        <v>0</v>
      </c>
      <c r="Q13" s="23"/>
      <c r="R13" s="4">
        <v>2421</v>
      </c>
      <c r="S13" s="24">
        <f>+X13</f>
        <v>32387.31</v>
      </c>
      <c r="T13" s="4" t="s">
        <v>61</v>
      </c>
      <c r="W13" s="25"/>
      <c r="X13" s="9">
        <v>32387.31</v>
      </c>
      <c r="Y13" s="25"/>
      <c r="Z13" s="25"/>
      <c r="AA13" s="34"/>
    </row>
    <row r="14" spans="1:27" s="22" customFormat="1" x14ac:dyDescent="0.25">
      <c r="B14" s="33" t="s">
        <v>19</v>
      </c>
      <c r="C14" s="21"/>
      <c r="D14" s="21"/>
      <c r="E14" s="21"/>
      <c r="F14" s="21">
        <v>-5247</v>
      </c>
      <c r="G14" s="21"/>
      <c r="I14" s="21">
        <v>-21230</v>
      </c>
      <c r="J14" s="21"/>
      <c r="K14" s="21"/>
      <c r="L14" s="21">
        <v>-28459</v>
      </c>
      <c r="M14" s="21"/>
      <c r="N14" s="21">
        <v>-44396</v>
      </c>
      <c r="O14" s="21">
        <f>SUM(C14:N14)</f>
        <v>-99332</v>
      </c>
      <c r="Q14" s="23"/>
      <c r="R14" s="4">
        <v>7102</v>
      </c>
      <c r="S14" s="24">
        <f t="shared" si="2"/>
        <v>0</v>
      </c>
      <c r="T14" s="4" t="s">
        <v>87</v>
      </c>
      <c r="W14" s="25"/>
      <c r="X14" s="9"/>
      <c r="Y14" s="25"/>
      <c r="Z14" s="25"/>
      <c r="AA14" s="34"/>
    </row>
    <row r="15" spans="1:27" s="22" customFormat="1" x14ac:dyDescent="0.25">
      <c r="B15" s="33" t="s">
        <v>20</v>
      </c>
      <c r="C15" s="21"/>
      <c r="D15" s="21"/>
      <c r="E15" s="21"/>
      <c r="F15" s="21">
        <v>24289</v>
      </c>
      <c r="G15" s="21"/>
      <c r="I15" s="21">
        <v>138906</v>
      </c>
      <c r="J15" s="21"/>
      <c r="K15" s="21"/>
      <c r="L15" s="21">
        <v>131301</v>
      </c>
      <c r="M15" s="21"/>
      <c r="N15" s="21">
        <v>84370</v>
      </c>
      <c r="O15" s="21">
        <f t="shared" si="1"/>
        <v>378866</v>
      </c>
      <c r="Q15" s="23"/>
      <c r="R15" s="4">
        <v>7103</v>
      </c>
      <c r="S15" s="24">
        <f t="shared" si="2"/>
        <v>0</v>
      </c>
      <c r="T15" s="4" t="s">
        <v>62</v>
      </c>
      <c r="W15" s="25"/>
      <c r="X15" s="9"/>
      <c r="Y15" s="25"/>
      <c r="Z15" s="25"/>
      <c r="AA15" s="34"/>
    </row>
    <row r="16" spans="1:27" s="22" customFormat="1" x14ac:dyDescent="0.25">
      <c r="B16" s="33" t="s">
        <v>21</v>
      </c>
      <c r="C16" s="21">
        <v>5035</v>
      </c>
      <c r="D16" s="21">
        <f>4570+478685</f>
        <v>483255</v>
      </c>
      <c r="E16" s="21">
        <f>73559+4967</f>
        <v>78526</v>
      </c>
      <c r="F16" s="21">
        <v>4548</v>
      </c>
      <c r="G16" s="21">
        <v>1700</v>
      </c>
      <c r="H16" s="21">
        <v>17602</v>
      </c>
      <c r="I16" s="21">
        <v>2625</v>
      </c>
      <c r="J16" s="21">
        <v>7713</v>
      </c>
      <c r="K16" s="21">
        <v>1620</v>
      </c>
      <c r="L16" s="21">
        <v>12028</v>
      </c>
      <c r="M16" s="21">
        <v>4375</v>
      </c>
      <c r="N16" s="21">
        <v>6007</v>
      </c>
      <c r="O16" s="21">
        <f t="shared" ref="O16:O26" si="3">SUM(C16:N16)</f>
        <v>625034</v>
      </c>
      <c r="Q16" s="23"/>
      <c r="R16" s="4">
        <v>7108</v>
      </c>
      <c r="S16" s="24">
        <f t="shared" si="2"/>
        <v>0</v>
      </c>
      <c r="T16" s="4" t="s">
        <v>63</v>
      </c>
      <c r="W16" s="25"/>
      <c r="X16" s="9"/>
      <c r="Y16" s="25"/>
      <c r="Z16" s="25"/>
      <c r="AA16" s="34"/>
    </row>
    <row r="17" spans="1:27" s="22" customFormat="1" x14ac:dyDescent="0.25">
      <c r="A17" s="35" t="s">
        <v>100</v>
      </c>
      <c r="B17" s="3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>
        <f t="shared" si="3"/>
        <v>0</v>
      </c>
      <c r="Q17" s="23"/>
      <c r="R17" s="4">
        <v>7109</v>
      </c>
      <c r="S17" s="24">
        <f>+X17</f>
        <v>599273.28</v>
      </c>
      <c r="T17" s="4" t="s">
        <v>88</v>
      </c>
      <c r="W17" s="25"/>
      <c r="X17" s="25">
        <v>599273.28</v>
      </c>
      <c r="Y17" s="25"/>
      <c r="Z17" s="25"/>
      <c r="AA17" s="34"/>
    </row>
    <row r="18" spans="1:27" s="22" customFormat="1" x14ac:dyDescent="0.25">
      <c r="A18" s="35" t="s">
        <v>51</v>
      </c>
      <c r="B18" s="33"/>
      <c r="C18" s="21">
        <v>3379510</v>
      </c>
      <c r="D18" s="21">
        <v>1644152</v>
      </c>
      <c r="E18" s="21">
        <v>1793453</v>
      </c>
      <c r="F18" s="21">
        <v>1659486</v>
      </c>
      <c r="G18" s="21">
        <v>3116475</v>
      </c>
      <c r="H18" s="21">
        <v>1600127</v>
      </c>
      <c r="I18" s="21">
        <f>2141784+375000</f>
        <v>2516784</v>
      </c>
      <c r="J18" s="21">
        <v>942024</v>
      </c>
      <c r="K18" s="21">
        <f>1042268+250000</f>
        <v>1292268</v>
      </c>
      <c r="L18" s="21">
        <f>840723+1750000</f>
        <v>2590723</v>
      </c>
      <c r="M18" s="21">
        <v>646500</v>
      </c>
      <c r="N18" s="21">
        <v>891934</v>
      </c>
      <c r="O18" s="21">
        <f t="shared" si="3"/>
        <v>22073436</v>
      </c>
      <c r="Q18" s="23"/>
      <c r="R18" s="4">
        <v>8000</v>
      </c>
      <c r="S18" s="24">
        <f>+X18</f>
        <v>0</v>
      </c>
      <c r="T18" s="4" t="s">
        <v>64</v>
      </c>
      <c r="W18" s="25"/>
      <c r="X18" s="9">
        <v>0</v>
      </c>
      <c r="Y18" s="25"/>
      <c r="Z18" s="25"/>
      <c r="AA18" s="34"/>
    </row>
    <row r="19" spans="1:27" s="22" customFormat="1" x14ac:dyDescent="0.25">
      <c r="A19" s="33" t="s">
        <v>22</v>
      </c>
      <c r="B19" s="4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>
        <f t="shared" si="3"/>
        <v>0</v>
      </c>
      <c r="Q19" s="23"/>
      <c r="R19" s="4">
        <v>8110</v>
      </c>
      <c r="S19" s="24">
        <f>+X19</f>
        <v>4515303.74</v>
      </c>
      <c r="T19" s="4" t="s">
        <v>89</v>
      </c>
      <c r="W19" s="25"/>
      <c r="X19" s="9">
        <v>4515303.74</v>
      </c>
      <c r="Y19" s="25"/>
      <c r="Z19" s="25"/>
      <c r="AA19" s="34"/>
    </row>
    <row r="20" spans="1:27" s="22" customFormat="1" x14ac:dyDescent="0.25">
      <c r="A20" s="33" t="s">
        <v>23</v>
      </c>
      <c r="B20" s="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f t="shared" si="3"/>
        <v>0</v>
      </c>
      <c r="Q20" s="23"/>
      <c r="R20" s="4">
        <v>8111</v>
      </c>
      <c r="S20" s="24">
        <f>+X20</f>
        <v>83</v>
      </c>
      <c r="T20" s="4" t="s">
        <v>90</v>
      </c>
      <c r="W20" s="25"/>
      <c r="X20" s="9">
        <v>83</v>
      </c>
      <c r="Y20" s="25"/>
      <c r="Z20" s="25"/>
      <c r="AA20" s="34"/>
    </row>
    <row r="21" spans="1:27" s="22" customFormat="1" x14ac:dyDescent="0.25">
      <c r="B21" s="33" t="s">
        <v>24</v>
      </c>
      <c r="C21" s="21"/>
      <c r="D21" s="21"/>
      <c r="E21" s="21">
        <v>31300000</v>
      </c>
      <c r="F21" s="21"/>
      <c r="G21" s="21"/>
      <c r="H21" s="21"/>
      <c r="I21" s="21"/>
      <c r="J21" s="21">
        <v>42000000</v>
      </c>
      <c r="K21" s="21"/>
      <c r="L21" s="21"/>
      <c r="M21" s="21">
        <v>177000000</v>
      </c>
      <c r="N21" s="21"/>
      <c r="O21" s="21">
        <f t="shared" si="3"/>
        <v>250300000</v>
      </c>
      <c r="Q21" s="23"/>
      <c r="R21" s="4">
        <v>8112</v>
      </c>
      <c r="S21" s="24">
        <f t="shared" si="2"/>
        <v>0</v>
      </c>
      <c r="T21" s="4" t="s">
        <v>65</v>
      </c>
      <c r="W21" s="25"/>
      <c r="X21" s="9"/>
      <c r="Y21" s="25"/>
      <c r="Z21" s="25"/>
      <c r="AA21" s="34"/>
    </row>
    <row r="22" spans="1:27" s="22" customFormat="1" x14ac:dyDescent="0.25">
      <c r="B22" s="33" t="s">
        <v>25</v>
      </c>
      <c r="C22" s="21"/>
      <c r="D22" s="21">
        <v>553428</v>
      </c>
      <c r="E22" s="21">
        <v>527148</v>
      </c>
      <c r="F22" s="21">
        <f>527839+6368</f>
        <v>534207</v>
      </c>
      <c r="G22" s="21">
        <v>561099</v>
      </c>
      <c r="H22" s="21">
        <v>461962</v>
      </c>
      <c r="I22" s="21">
        <f>489854+6470</f>
        <v>496324</v>
      </c>
      <c r="J22" s="21">
        <v>467384</v>
      </c>
      <c r="K22" s="21">
        <v>839104</v>
      </c>
      <c r="L22" s="21">
        <f>780263+17041</f>
        <v>797304</v>
      </c>
      <c r="M22" s="21">
        <v>725451</v>
      </c>
      <c r="N22" s="21">
        <f>631805+599273+38373</f>
        <v>1269451</v>
      </c>
      <c r="O22" s="21">
        <f t="shared" si="3"/>
        <v>7232862</v>
      </c>
      <c r="Q22" s="36">
        <f>ROUND(SUMIF($R$10:$R$42,7109,$S$10:$S$42),0)</f>
        <v>599273</v>
      </c>
      <c r="R22" s="4">
        <v>8116</v>
      </c>
      <c r="S22" s="24">
        <f>+X22</f>
        <v>4</v>
      </c>
      <c r="T22" s="4" t="s">
        <v>66</v>
      </c>
      <c r="W22" s="25"/>
      <c r="X22" s="9">
        <v>4</v>
      </c>
      <c r="Y22" s="25"/>
      <c r="Z22" s="25"/>
      <c r="AA22" s="34"/>
    </row>
    <row r="23" spans="1:27" s="22" customFormat="1" x14ac:dyDescent="0.25">
      <c r="B23" s="19" t="s">
        <v>59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>
        <v>288939</v>
      </c>
      <c r="O23" s="21">
        <f t="shared" si="3"/>
        <v>288939</v>
      </c>
      <c r="Q23" s="23"/>
      <c r="R23" s="4">
        <v>8135</v>
      </c>
      <c r="S23" s="24">
        <f t="shared" si="2"/>
        <v>0</v>
      </c>
      <c r="T23" s="4" t="s">
        <v>67</v>
      </c>
      <c r="W23" s="25"/>
      <c r="X23" s="9"/>
      <c r="Y23" s="25"/>
      <c r="Z23" s="25"/>
      <c r="AA23" s="34"/>
    </row>
    <row r="24" spans="1:27" s="22" customFormat="1" x14ac:dyDescent="0.25">
      <c r="B24" s="33" t="s">
        <v>26</v>
      </c>
      <c r="C24" s="21"/>
      <c r="D24" s="21">
        <v>-100</v>
      </c>
      <c r="E24" s="21">
        <v>0</v>
      </c>
      <c r="F24" s="21"/>
      <c r="G24" s="21"/>
      <c r="H24" s="21"/>
      <c r="I24" s="21"/>
      <c r="J24" s="21"/>
      <c r="K24" s="21"/>
      <c r="L24" s="21">
        <v>-100</v>
      </c>
      <c r="M24" s="21"/>
      <c r="N24" s="21">
        <v>-350</v>
      </c>
      <c r="O24" s="21">
        <f t="shared" si="3"/>
        <v>-550</v>
      </c>
      <c r="Q24" s="23">
        <f>ROUND(SUMIF($R$10:$R$42,8402,$S$10:$S$42),0)</f>
        <v>-350</v>
      </c>
      <c r="R24" s="4">
        <v>8142</v>
      </c>
      <c r="S24" s="24">
        <f t="shared" si="2"/>
        <v>0</v>
      </c>
      <c r="T24" s="4" t="s">
        <v>68</v>
      </c>
      <c r="W24" s="25"/>
      <c r="X24" s="9"/>
      <c r="Y24" s="25"/>
      <c r="Z24" s="25"/>
      <c r="AA24" s="34"/>
    </row>
    <row r="25" spans="1:27" s="22" customFormat="1" x14ac:dyDescent="0.25">
      <c r="B25" s="33" t="s">
        <v>27</v>
      </c>
      <c r="C25" s="21">
        <v>0</v>
      </c>
      <c r="D25" s="21">
        <v>744712</v>
      </c>
      <c r="E25" s="21">
        <v>0</v>
      </c>
      <c r="F25" s="21">
        <v>841868</v>
      </c>
      <c r="G25" s="21">
        <v>722120</v>
      </c>
      <c r="H25" s="21">
        <v>257234</v>
      </c>
      <c r="I25" s="21">
        <v>635806</v>
      </c>
      <c r="J25" s="21">
        <v>744681</v>
      </c>
      <c r="K25" s="21">
        <v>0</v>
      </c>
      <c r="L25" s="21">
        <v>0</v>
      </c>
      <c r="M25" s="21"/>
      <c r="N25" s="21">
        <f>1209161+742718</f>
        <v>1951879</v>
      </c>
      <c r="O25" s="21">
        <f t="shared" si="3"/>
        <v>5898300</v>
      </c>
      <c r="Q25" s="36">
        <f>ROUND(SUMIF($R$10:$R$42,9007,$S$10:$S$42),0)</f>
        <v>742718</v>
      </c>
      <c r="R25" s="4">
        <v>8144</v>
      </c>
      <c r="S25" s="24">
        <f>+X25</f>
        <v>121500</v>
      </c>
      <c r="T25" s="4" t="s">
        <v>69</v>
      </c>
      <c r="W25" s="25"/>
      <c r="X25" s="9">
        <v>121500</v>
      </c>
      <c r="Y25" s="25"/>
      <c r="Z25" s="25"/>
      <c r="AA25" s="34"/>
    </row>
    <row r="26" spans="1:27" s="22" customFormat="1" x14ac:dyDescent="0.25">
      <c r="B26" s="33" t="s">
        <v>28</v>
      </c>
      <c r="C26" s="21">
        <v>173175</v>
      </c>
      <c r="D26" s="21">
        <v>5851219</v>
      </c>
      <c r="E26" s="21">
        <f>5024549.25-1638</f>
        <v>5022911.25</v>
      </c>
      <c r="F26" s="21">
        <f>5302517-296</f>
        <v>5302221</v>
      </c>
      <c r="G26" s="21">
        <v>4938612</v>
      </c>
      <c r="H26" s="21">
        <v>4196975</v>
      </c>
      <c r="I26" s="21">
        <f>4529807-42</f>
        <v>4529765</v>
      </c>
      <c r="J26" s="21">
        <f>4057241-152</f>
        <v>4057089</v>
      </c>
      <c r="K26" s="21">
        <v>5481320</v>
      </c>
      <c r="L26" s="21">
        <f>5203142-736-0.45</f>
        <v>5202405.55</v>
      </c>
      <c r="M26" s="21">
        <f>4722472+653</f>
        <v>4723125</v>
      </c>
      <c r="N26" s="21">
        <f>4689160+1397+4652792+1046</f>
        <v>9344395</v>
      </c>
      <c r="O26" s="21">
        <f t="shared" si="3"/>
        <v>58823212.799999997</v>
      </c>
      <c r="Q26" s="36">
        <f>ROUND(SUMIF($R$10:$R$43,"Total",$S$10:$S$43),0)-SUM(Q11:Q25)+X38+X39+X41+X42+X40</f>
        <v>4652791.7</v>
      </c>
      <c r="R26" s="4">
        <v>8170</v>
      </c>
      <c r="S26" s="24">
        <f t="shared" si="2"/>
        <v>0</v>
      </c>
      <c r="T26" s="4" t="s">
        <v>70</v>
      </c>
      <c r="W26" s="25"/>
      <c r="X26" s="9"/>
      <c r="Y26" s="25"/>
      <c r="Z26" s="25"/>
      <c r="AA26" s="34"/>
    </row>
    <row r="27" spans="1:27" s="22" customFormat="1" x14ac:dyDescent="0.25">
      <c r="B27" s="33" t="s">
        <v>29</v>
      </c>
      <c r="C27" s="30"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>
        <f t="shared" ref="O27" si="4">SUM(C27:N27)</f>
        <v>0</v>
      </c>
      <c r="Q27" s="23"/>
      <c r="R27" s="4">
        <v>8182</v>
      </c>
      <c r="S27" s="24">
        <f t="shared" si="2"/>
        <v>0</v>
      </c>
      <c r="T27" s="4" t="s">
        <v>71</v>
      </c>
      <c r="W27" s="25"/>
      <c r="X27" s="9"/>
      <c r="Y27" s="25"/>
      <c r="Z27" s="25"/>
      <c r="AA27" s="34"/>
    </row>
    <row r="28" spans="1:27" s="38" customFormat="1" x14ac:dyDescent="0.25">
      <c r="A28" s="22"/>
      <c r="B28" s="19" t="s">
        <v>30</v>
      </c>
      <c r="C28" s="30">
        <f>SUM(C21:C27)</f>
        <v>173175</v>
      </c>
      <c r="D28" s="30">
        <f>SUM(D21:D27)</f>
        <v>7149259</v>
      </c>
      <c r="E28" s="30">
        <f>SUM(E21:E27)</f>
        <v>36850059.25</v>
      </c>
      <c r="F28" s="30">
        <f>SUM(F21:F27)</f>
        <v>6678296</v>
      </c>
      <c r="G28" s="30">
        <f>SUM(G21:G27)</f>
        <v>6221831</v>
      </c>
      <c r="H28" s="30">
        <f t="shared" ref="H28:N28" si="5">SUM(H21:H27)</f>
        <v>4916171</v>
      </c>
      <c r="I28" s="30">
        <f t="shared" si="5"/>
        <v>5661895</v>
      </c>
      <c r="J28" s="30">
        <f>SUM(J21:J27)</f>
        <v>47269154</v>
      </c>
      <c r="K28" s="30">
        <f>SUM(K21:K27)</f>
        <v>6320424</v>
      </c>
      <c r="L28" s="30">
        <f>SUM(L21:L27)</f>
        <v>5999609.5499999998</v>
      </c>
      <c r="M28" s="30">
        <f>SUM(M21:M27)</f>
        <v>182448576</v>
      </c>
      <c r="N28" s="30">
        <f t="shared" si="5"/>
        <v>12854314</v>
      </c>
      <c r="O28" s="30">
        <f>SUM(O21:O27)</f>
        <v>322542763.80000001</v>
      </c>
      <c r="P28" s="22"/>
      <c r="Q28" s="23">
        <f>SUM(Q11:Q27)</f>
        <v>5994432.7000000002</v>
      </c>
      <c r="R28" s="4">
        <v>8199</v>
      </c>
      <c r="S28" s="24">
        <f>+X28</f>
        <v>-18523.03</v>
      </c>
      <c r="T28" s="37" t="s">
        <v>72</v>
      </c>
      <c r="W28" s="25"/>
      <c r="X28" s="9">
        <v>-18523.03</v>
      </c>
      <c r="Y28" s="25"/>
      <c r="Z28" s="25"/>
      <c r="AA28" s="34"/>
    </row>
    <row r="29" spans="1:27" s="22" customFormat="1" x14ac:dyDescent="0.25">
      <c r="A29" s="38"/>
      <c r="B29" s="39" t="s">
        <v>31</v>
      </c>
      <c r="C29" s="30">
        <f t="shared" ref="C29:I29" si="6">SUM(C10:C27)</f>
        <v>4395734</v>
      </c>
      <c r="D29" s="30">
        <f t="shared" si="6"/>
        <v>9500237</v>
      </c>
      <c r="E29" s="30">
        <f t="shared" si="6"/>
        <v>39074744.25</v>
      </c>
      <c r="F29" s="30">
        <f t="shared" si="6"/>
        <v>8649565</v>
      </c>
      <c r="G29" s="30">
        <f t="shared" si="6"/>
        <v>9630198</v>
      </c>
      <c r="H29" s="30">
        <f t="shared" si="6"/>
        <v>6827949</v>
      </c>
      <c r="I29" s="30">
        <f t="shared" si="6"/>
        <v>9006639</v>
      </c>
      <c r="J29" s="30">
        <f>SUM(J10:J26)</f>
        <v>48348499</v>
      </c>
      <c r="K29" s="30">
        <f>SUM(K10:K27)</f>
        <v>7810989</v>
      </c>
      <c r="L29" s="30">
        <f>SUM(L10:L27)</f>
        <v>9050308.0999999996</v>
      </c>
      <c r="M29" s="30">
        <f>SUM(M10:M27)</f>
        <v>183116335</v>
      </c>
      <c r="N29" s="30">
        <f>SUM(N10:N27)</f>
        <v>14175783</v>
      </c>
      <c r="O29" s="30">
        <f>SUM(O10:O27)</f>
        <v>349586980.35000002</v>
      </c>
      <c r="P29" s="38"/>
      <c r="Q29" s="23"/>
      <c r="R29" s="4">
        <v>8310</v>
      </c>
      <c r="S29" s="24">
        <f t="shared" si="2"/>
        <v>0</v>
      </c>
      <c r="T29" s="4" t="s">
        <v>73</v>
      </c>
      <c r="W29" s="25"/>
      <c r="X29" s="9"/>
      <c r="Y29" s="25"/>
      <c r="Z29" s="25"/>
      <c r="AA29" s="34"/>
    </row>
    <row r="30" spans="1:27" s="22" customFormat="1" x14ac:dyDescent="0.25">
      <c r="A30" s="19" t="s">
        <v>32</v>
      </c>
      <c r="B30" s="4"/>
      <c r="C30" s="20"/>
      <c r="D30" s="20"/>
      <c r="E30" s="20"/>
      <c r="F30" s="20"/>
      <c r="G30" s="40"/>
      <c r="H30" s="20"/>
      <c r="I30" s="20"/>
      <c r="J30" s="20"/>
      <c r="K30" s="20"/>
      <c r="L30" s="21"/>
      <c r="M30" s="21"/>
      <c r="N30" s="21"/>
      <c r="O30" s="21"/>
      <c r="Q30" s="23"/>
      <c r="R30" s="4">
        <v>8311</v>
      </c>
      <c r="S30" s="24">
        <f t="shared" si="2"/>
        <v>0</v>
      </c>
      <c r="T30" s="4" t="s">
        <v>74</v>
      </c>
      <c r="W30" s="25"/>
      <c r="X30" s="9"/>
      <c r="Y30" s="25"/>
      <c r="Z30" s="25"/>
      <c r="AA30" s="34"/>
    </row>
    <row r="31" spans="1:27" s="22" customFormat="1" x14ac:dyDescent="0.25">
      <c r="B31" s="33" t="s">
        <v>33</v>
      </c>
      <c r="C31" s="41">
        <v>0</v>
      </c>
      <c r="D31" s="41"/>
      <c r="E31" s="41"/>
      <c r="F31" s="41">
        <v>20000</v>
      </c>
      <c r="G31" s="41"/>
      <c r="H31" s="41"/>
      <c r="I31" s="41"/>
      <c r="J31" s="41"/>
      <c r="K31" s="41"/>
      <c r="L31" s="41"/>
      <c r="M31" s="41">
        <v>3169</v>
      </c>
      <c r="N31" s="41"/>
      <c r="O31" s="21">
        <f>SUM(C31:N31)</f>
        <v>23169</v>
      </c>
      <c r="Q31" s="23"/>
      <c r="R31" s="4">
        <v>8315</v>
      </c>
      <c r="S31" s="24">
        <f t="shared" si="2"/>
        <v>0</v>
      </c>
      <c r="T31" s="4" t="s">
        <v>75</v>
      </c>
      <c r="W31" s="25"/>
      <c r="X31" s="9"/>
      <c r="Y31" s="25"/>
      <c r="Z31" s="25"/>
      <c r="AA31" s="34"/>
    </row>
    <row r="32" spans="1:27" s="22" customFormat="1" x14ac:dyDescent="0.25">
      <c r="B32" s="33" t="s">
        <v>34</v>
      </c>
      <c r="C32" s="41"/>
      <c r="D32" s="41"/>
      <c r="E32" s="41"/>
      <c r="F32" s="42">
        <v>3721258</v>
      </c>
      <c r="G32" s="41"/>
      <c r="H32" s="41"/>
      <c r="I32" s="41"/>
      <c r="J32" s="41"/>
      <c r="K32" s="41"/>
      <c r="L32" s="43"/>
      <c r="M32" s="41"/>
      <c r="N32" s="41">
        <v>61821250</v>
      </c>
      <c r="O32" s="21">
        <f>SUM(C32:N32)</f>
        <v>65542508</v>
      </c>
      <c r="Q32" s="23"/>
      <c r="R32" s="4">
        <v>8402</v>
      </c>
      <c r="S32" s="24">
        <f t="shared" si="2"/>
        <v>-350</v>
      </c>
      <c r="T32" s="4" t="s">
        <v>76</v>
      </c>
      <c r="W32" s="25"/>
      <c r="X32" s="9">
        <v>-350</v>
      </c>
      <c r="Y32" s="25"/>
      <c r="Z32" s="25"/>
      <c r="AA32" s="34"/>
    </row>
    <row r="33" spans="1:27" s="22" customFormat="1" x14ac:dyDescent="0.25">
      <c r="B33" s="33" t="s">
        <v>29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21">
        <f t="shared" ref="O33:O38" si="7">SUM(C33:N33)</f>
        <v>0</v>
      </c>
      <c r="Q33" s="23"/>
      <c r="R33" s="4">
        <v>9000</v>
      </c>
      <c r="S33" s="24">
        <f t="shared" si="2"/>
        <v>0</v>
      </c>
      <c r="T33" s="4" t="s">
        <v>77</v>
      </c>
      <c r="W33" s="25"/>
      <c r="X33" s="9"/>
      <c r="Y33" s="25"/>
      <c r="Z33" s="25"/>
      <c r="AA33" s="34"/>
    </row>
    <row r="34" spans="1:27" s="22" customFormat="1" x14ac:dyDescent="0.25">
      <c r="B34" s="33" t="s">
        <v>35</v>
      </c>
      <c r="C34" s="41"/>
      <c r="D34" s="41"/>
      <c r="E34" s="41"/>
      <c r="F34" s="41"/>
      <c r="G34" s="41">
        <v>7500000</v>
      </c>
      <c r="H34" s="41"/>
      <c r="I34" s="41"/>
      <c r="J34" s="41">
        <v>11645000</v>
      </c>
      <c r="K34" s="41"/>
      <c r="L34" s="41">
        <v>7500000</v>
      </c>
      <c r="M34" s="41">
        <v>4987173</v>
      </c>
      <c r="N34" s="41"/>
      <c r="O34" s="21">
        <f>SUM(C34:N34)</f>
        <v>31632173</v>
      </c>
      <c r="Q34" s="23"/>
      <c r="R34" s="4">
        <v>9001</v>
      </c>
      <c r="S34" s="24">
        <f t="shared" si="2"/>
        <v>300</v>
      </c>
      <c r="T34" s="4" t="s">
        <v>78</v>
      </c>
      <c r="W34" s="25"/>
      <c r="X34" s="9">
        <v>300</v>
      </c>
      <c r="Y34" s="25"/>
      <c r="Z34" s="25"/>
      <c r="AA34" s="34"/>
    </row>
    <row r="35" spans="1:27" s="22" customFormat="1" x14ac:dyDescent="0.25">
      <c r="B35" s="33" t="s">
        <v>36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21">
        <f t="shared" si="7"/>
        <v>0</v>
      </c>
      <c r="Q35" s="23"/>
      <c r="R35" s="4">
        <v>9007</v>
      </c>
      <c r="S35" s="24">
        <f>+X35</f>
        <v>742717.5</v>
      </c>
      <c r="T35" s="4" t="s">
        <v>79</v>
      </c>
      <c r="W35" s="25"/>
      <c r="X35" s="9">
        <v>742717.5</v>
      </c>
      <c r="Y35" s="25"/>
      <c r="Z35" s="25"/>
      <c r="AA35" s="34"/>
    </row>
    <row r="36" spans="1:27" s="22" customFormat="1" x14ac:dyDescent="0.25">
      <c r="B36" s="19" t="s">
        <v>46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4">
        <f t="shared" si="7"/>
        <v>0</v>
      </c>
      <c r="Q36" s="23"/>
      <c r="R36" s="4">
        <v>9060</v>
      </c>
      <c r="S36" s="24">
        <f t="shared" si="2"/>
        <v>0</v>
      </c>
      <c r="T36" s="4" t="s">
        <v>80</v>
      </c>
      <c r="W36" s="25"/>
      <c r="X36" s="9"/>
      <c r="Y36" s="25"/>
      <c r="Z36" s="25"/>
      <c r="AA36" s="34"/>
    </row>
    <row r="37" spans="1:27" s="22" customFormat="1" x14ac:dyDescent="0.25">
      <c r="B37" s="33" t="s">
        <v>48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>
        <v>165223825</v>
      </c>
      <c r="O37" s="44">
        <f>SUM(C37:N37)</f>
        <v>165223825</v>
      </c>
      <c r="Q37" s="23"/>
      <c r="R37" s="4">
        <v>9084</v>
      </c>
      <c r="S37" s="24">
        <f>+X37</f>
        <v>-1000</v>
      </c>
      <c r="T37" s="4" t="s">
        <v>91</v>
      </c>
      <c r="W37" s="25"/>
      <c r="X37" s="9">
        <v>-1000</v>
      </c>
      <c r="Y37" s="25"/>
      <c r="Z37" s="25"/>
      <c r="AA37" s="34"/>
    </row>
    <row r="38" spans="1:27" s="22" customFormat="1" x14ac:dyDescent="0.25">
      <c r="B38" s="19" t="s">
        <v>47</v>
      </c>
      <c r="C38" s="41">
        <v>0</v>
      </c>
      <c r="D38" s="45"/>
      <c r="E38" s="45"/>
      <c r="F38" s="45"/>
      <c r="G38" s="45"/>
      <c r="H38" s="41"/>
      <c r="I38" s="41"/>
      <c r="J38" s="41"/>
      <c r="K38" s="41"/>
      <c r="L38" s="41"/>
      <c r="M38" s="46"/>
      <c r="N38" s="30"/>
      <c r="O38" s="44">
        <f t="shared" si="7"/>
        <v>0</v>
      </c>
      <c r="Q38" s="23"/>
      <c r="R38" s="4"/>
      <c r="S38" s="24"/>
      <c r="T38" s="4" t="s">
        <v>99</v>
      </c>
      <c r="W38" s="25"/>
      <c r="X38" s="9">
        <v>0</v>
      </c>
      <c r="Y38" s="25"/>
      <c r="Z38" s="25"/>
    </row>
    <row r="39" spans="1:27" s="50" customFormat="1" x14ac:dyDescent="0.25">
      <c r="A39" s="22"/>
      <c r="B39" s="33" t="s">
        <v>37</v>
      </c>
      <c r="C39" s="47">
        <f t="shared" ref="C39:N39" si="8">SUM(C36:C38)</f>
        <v>0</v>
      </c>
      <c r="D39" s="30">
        <f t="shared" si="8"/>
        <v>0</v>
      </c>
      <c r="E39" s="30">
        <f t="shared" si="8"/>
        <v>0</v>
      </c>
      <c r="F39" s="30">
        <f t="shared" si="8"/>
        <v>0</v>
      </c>
      <c r="G39" s="47">
        <f t="shared" si="8"/>
        <v>0</v>
      </c>
      <c r="H39" s="47">
        <f t="shared" si="8"/>
        <v>0</v>
      </c>
      <c r="I39" s="47">
        <f t="shared" si="8"/>
        <v>0</v>
      </c>
      <c r="J39" s="47">
        <f t="shared" si="8"/>
        <v>0</v>
      </c>
      <c r="K39" s="47">
        <f t="shared" si="8"/>
        <v>0</v>
      </c>
      <c r="L39" s="47">
        <f t="shared" si="8"/>
        <v>0</v>
      </c>
      <c r="M39" s="30">
        <f t="shared" si="8"/>
        <v>0</v>
      </c>
      <c r="N39" s="30">
        <f t="shared" si="8"/>
        <v>165223825</v>
      </c>
      <c r="O39" s="47">
        <f>SUM(O36:O38)</f>
        <v>165223825</v>
      </c>
      <c r="P39" s="22"/>
      <c r="Q39" s="23"/>
      <c r="R39" s="48"/>
      <c r="S39" s="24"/>
      <c r="T39" s="49" t="s">
        <v>93</v>
      </c>
      <c r="W39" s="8"/>
      <c r="X39" s="9">
        <v>3839.13</v>
      </c>
      <c r="Y39" s="8"/>
      <c r="Z39" s="8"/>
    </row>
    <row r="40" spans="1:27" ht="15.75" customHeight="1" x14ac:dyDescent="0.25">
      <c r="A40" s="50"/>
      <c r="B40" s="51" t="s">
        <v>38</v>
      </c>
      <c r="C40" s="30">
        <f t="shared" ref="C40:O40" si="9">SUM(C31:C38)</f>
        <v>0</v>
      </c>
      <c r="D40" s="30">
        <f t="shared" si="9"/>
        <v>0</v>
      </c>
      <c r="E40" s="30">
        <f t="shared" si="9"/>
        <v>0</v>
      </c>
      <c r="F40" s="30">
        <f t="shared" si="9"/>
        <v>3741258</v>
      </c>
      <c r="G40" s="30">
        <f t="shared" si="9"/>
        <v>7500000</v>
      </c>
      <c r="H40" s="30">
        <f t="shared" si="9"/>
        <v>0</v>
      </c>
      <c r="I40" s="30">
        <f t="shared" si="9"/>
        <v>0</v>
      </c>
      <c r="J40" s="30">
        <f t="shared" si="9"/>
        <v>11645000</v>
      </c>
      <c r="K40" s="30">
        <f t="shared" si="9"/>
        <v>0</v>
      </c>
      <c r="L40" s="30">
        <f t="shared" si="9"/>
        <v>7500000</v>
      </c>
      <c r="M40" s="30">
        <f t="shared" si="9"/>
        <v>4990342</v>
      </c>
      <c r="N40" s="30">
        <f t="shared" si="9"/>
        <v>227045075</v>
      </c>
      <c r="O40" s="30">
        <f t="shared" si="9"/>
        <v>262421675</v>
      </c>
      <c r="P40" s="50"/>
      <c r="S40" s="24"/>
      <c r="T40" s="1" t="s">
        <v>94</v>
      </c>
      <c r="X40" s="9">
        <v>-56.13</v>
      </c>
    </row>
    <row r="41" spans="1:27" x14ac:dyDescent="0.25">
      <c r="A41" s="1"/>
      <c r="B41" s="4"/>
      <c r="C41" s="20"/>
      <c r="D41" s="20"/>
      <c r="E41" s="20"/>
      <c r="F41" s="20"/>
      <c r="G41" s="40"/>
      <c r="H41" s="52">
        <f>H7+H29-H40</f>
        <v>75218797</v>
      </c>
      <c r="I41" s="52">
        <f>I7+I29-I40</f>
        <v>84225436</v>
      </c>
      <c r="J41" s="53">
        <f>J7+J29-J40</f>
        <v>120928935</v>
      </c>
      <c r="K41" s="54">
        <f>K7+K29-K40</f>
        <v>128739924</v>
      </c>
      <c r="L41" s="21"/>
      <c r="M41" s="21"/>
      <c r="N41" s="21"/>
      <c r="O41" s="55"/>
      <c r="S41" s="24"/>
      <c r="T41" s="1" t="s">
        <v>105</v>
      </c>
      <c r="X41" s="9">
        <v>-1046.3</v>
      </c>
    </row>
    <row r="42" spans="1:27" x14ac:dyDescent="0.25">
      <c r="A42" s="56" t="s">
        <v>39</v>
      </c>
      <c r="B42" s="4"/>
      <c r="C42" s="20"/>
      <c r="D42" s="20"/>
      <c r="E42" s="20"/>
      <c r="F42" s="20"/>
      <c r="G42" s="40"/>
      <c r="H42" s="20"/>
      <c r="I42" s="20"/>
      <c r="J42" s="20"/>
      <c r="K42" s="20"/>
      <c r="L42" s="21"/>
      <c r="M42" s="21"/>
      <c r="N42" s="21"/>
      <c r="O42" s="21"/>
      <c r="T42" s="1" t="s">
        <v>106</v>
      </c>
      <c r="X42" s="9">
        <v>0</v>
      </c>
      <c r="AA42" s="7"/>
    </row>
    <row r="43" spans="1:27" s="22" customFormat="1" ht="15.6" thickBot="1" x14ac:dyDescent="0.3">
      <c r="B43" s="33" t="s">
        <v>14</v>
      </c>
      <c r="C43" s="30">
        <f t="shared" ref="C43:M43" si="10">+C7+C29-C40</f>
        <v>12777362</v>
      </c>
      <c r="D43" s="30">
        <f t="shared" si="10"/>
        <v>22277599</v>
      </c>
      <c r="E43" s="30">
        <f t="shared" si="10"/>
        <v>61352343.25</v>
      </c>
      <c r="F43" s="30">
        <f t="shared" si="10"/>
        <v>66260650</v>
      </c>
      <c r="G43" s="30">
        <f t="shared" si="10"/>
        <v>68390848</v>
      </c>
      <c r="H43" s="30">
        <f t="shared" si="10"/>
        <v>75218797</v>
      </c>
      <c r="I43" s="30">
        <f>+I7+I29-I40</f>
        <v>84225436</v>
      </c>
      <c r="J43" s="30">
        <f t="shared" si="10"/>
        <v>120928935</v>
      </c>
      <c r="K43" s="30">
        <f t="shared" si="10"/>
        <v>128739924</v>
      </c>
      <c r="L43" s="30">
        <f>+L7+L29-L40</f>
        <v>130290232.09999999</v>
      </c>
      <c r="M43" s="30">
        <f t="shared" si="10"/>
        <v>308416225</v>
      </c>
      <c r="N43" s="30">
        <f>+N7+N29-N40</f>
        <v>95546933</v>
      </c>
      <c r="O43" s="30">
        <f>+O7+O29-O40</f>
        <v>95546933.350000024</v>
      </c>
      <c r="Q43" s="23"/>
      <c r="R43" s="57" t="s">
        <v>81</v>
      </c>
      <c r="S43" s="58">
        <f>SUM(S10:S42)</f>
        <v>5991695.7999999998</v>
      </c>
      <c r="T43" s="4"/>
      <c r="W43" s="59"/>
      <c r="X43" s="59">
        <f>SUM(X10:X42)</f>
        <v>5994432.5</v>
      </c>
      <c r="Y43" s="58">
        <f>SUM(Y10:Y42)</f>
        <v>0</v>
      </c>
      <c r="Z43" s="58">
        <f>SUM(Z10:Z42)</f>
        <v>0</v>
      </c>
    </row>
    <row r="44" spans="1:27" ht="15.6" thickTop="1" x14ac:dyDescent="0.25">
      <c r="A44" s="56" t="s">
        <v>40</v>
      </c>
      <c r="B44" s="4"/>
      <c r="C44" s="21">
        <f>SUM(C43:C43)</f>
        <v>12777362</v>
      </c>
      <c r="D44" s="21">
        <f t="shared" ref="D44:K44" si="11">SUM(D43:D43)</f>
        <v>22277599</v>
      </c>
      <c r="E44" s="21">
        <f>SUM(E43:E43)</f>
        <v>61352343.25</v>
      </c>
      <c r="F44" s="21">
        <f t="shared" si="11"/>
        <v>66260650</v>
      </c>
      <c r="G44" s="21">
        <f>SUM(G43:G43)</f>
        <v>68390848</v>
      </c>
      <c r="H44" s="21">
        <f t="shared" si="11"/>
        <v>75218797</v>
      </c>
      <c r="I44" s="21">
        <f>SUM(I43:I43)</f>
        <v>84225436</v>
      </c>
      <c r="J44" s="21">
        <f t="shared" si="11"/>
        <v>120928935</v>
      </c>
      <c r="K44" s="21">
        <f t="shared" si="11"/>
        <v>128739924</v>
      </c>
      <c r="L44" s="21">
        <f>SUM(L43:L43)</f>
        <v>130290232.09999999</v>
      </c>
      <c r="M44" s="21">
        <f>SUM(M43:M43)</f>
        <v>308416225</v>
      </c>
      <c r="N44" s="21">
        <f>SUM(N43:N43)</f>
        <v>95546933</v>
      </c>
      <c r="O44" s="21">
        <f>SUM(O43:O43)</f>
        <v>95546933.350000024</v>
      </c>
      <c r="X44" s="9">
        <v>5994432.5</v>
      </c>
    </row>
    <row r="45" spans="1:27" x14ac:dyDescent="0.25">
      <c r="A45" s="60"/>
      <c r="B45" s="35" t="s">
        <v>41</v>
      </c>
      <c r="C45" s="44">
        <f>-1231439+C31+C34</f>
        <v>-1231439</v>
      </c>
      <c r="D45" s="44">
        <f>C45+D31+D34</f>
        <v>-1231439</v>
      </c>
      <c r="E45" s="44">
        <f>D45+E31+E34</f>
        <v>-1231439</v>
      </c>
      <c r="F45" s="44">
        <f>E45+F31+F34</f>
        <v>-1211439</v>
      </c>
      <c r="G45" s="44">
        <f>F45-52884000+G31+G34</f>
        <v>-46595439</v>
      </c>
      <c r="H45" s="44">
        <f t="shared" ref="H45:M45" si="12">G45+H31+H34</f>
        <v>-46595439</v>
      </c>
      <c r="I45" s="44">
        <f t="shared" si="12"/>
        <v>-46595439</v>
      </c>
      <c r="J45" s="44">
        <f t="shared" si="12"/>
        <v>-34950439</v>
      </c>
      <c r="K45" s="44">
        <f t="shared" si="12"/>
        <v>-34950439</v>
      </c>
      <c r="L45" s="44">
        <f t="shared" si="12"/>
        <v>-27450439</v>
      </c>
      <c r="M45" s="44">
        <f t="shared" si="12"/>
        <v>-22460097</v>
      </c>
      <c r="N45" s="44">
        <f>M45+N31+N34</f>
        <v>-22460097</v>
      </c>
      <c r="O45" s="44">
        <f>IF(N45&lt;0,N45,IF(M45&lt;0,M45,IF(L45&lt;0,L45,IF(K45&lt;0,K45,IF(J45&lt;0,J45,IF(G45&lt;0,G45,IF(I45&lt;0,I45,IF(H45&lt;0,H45,IF(F45&lt;0,F45,IF(E45&lt;0,E45,IF(D45&lt;0,D45,IF(C45&lt;0,C45,0))))))))))))</f>
        <v>-22460097</v>
      </c>
      <c r="X45" s="9">
        <f>X44-X43</f>
        <v>0</v>
      </c>
    </row>
    <row r="46" spans="1:27" x14ac:dyDescent="0.25">
      <c r="A46" s="22"/>
      <c r="B46" s="19" t="s">
        <v>101</v>
      </c>
      <c r="C46" s="44">
        <v>0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>
        <f>IF(N46&lt;0,N46,IF(M46&lt;0,M46,IF(L46&lt;0,L46,IF(K46&lt;0,K46,IF(J46&lt;0,J46,IF(G46&lt;0,G46,IF(I46&lt;0,I46,IF(H46&lt;0,H46,IF(F46&lt;0,F46,IF(E46&lt;0,E46,IF(D46&lt;0,D46,IF(C46&lt;0,C46,0))))))))))))</f>
        <v>0</v>
      </c>
      <c r="S46" s="7">
        <f>S43-X44</f>
        <v>-2736.7000000001863</v>
      </c>
    </row>
    <row r="47" spans="1:27" ht="15.6" thickBot="1" x14ac:dyDescent="0.3">
      <c r="A47" s="56" t="s">
        <v>42</v>
      </c>
      <c r="B47" s="4"/>
      <c r="C47" s="61">
        <f>SUM(C44:C46)</f>
        <v>11545923</v>
      </c>
      <c r="D47" s="61">
        <f>SUM(D44:D46)</f>
        <v>21046160</v>
      </c>
      <c r="E47" s="61">
        <f t="shared" ref="E47:L47" si="13">SUM(E44:E46)</f>
        <v>60120904.25</v>
      </c>
      <c r="F47" s="61">
        <f>SUM(F44:F46)</f>
        <v>65049211</v>
      </c>
      <c r="G47" s="61">
        <f>SUM(G44:G46)</f>
        <v>21795409</v>
      </c>
      <c r="H47" s="61">
        <f t="shared" si="13"/>
        <v>28623358</v>
      </c>
      <c r="I47" s="61">
        <f>SUM(I44:I46)</f>
        <v>37629997</v>
      </c>
      <c r="J47" s="61">
        <f>SUM(J44:J46)</f>
        <v>85978496</v>
      </c>
      <c r="K47" s="61">
        <f t="shared" si="13"/>
        <v>93789485</v>
      </c>
      <c r="L47" s="61">
        <f t="shared" si="13"/>
        <v>102839793.09999999</v>
      </c>
      <c r="M47" s="61">
        <f>SUM(M44:M46)</f>
        <v>285956128</v>
      </c>
      <c r="N47" s="61">
        <f>SUM(N44:N46)</f>
        <v>73086836</v>
      </c>
      <c r="O47" s="61">
        <f>SUM(O44:O46)</f>
        <v>73086836.350000024</v>
      </c>
    </row>
    <row r="48" spans="1:27" ht="15.6" thickTop="1" x14ac:dyDescent="0.25">
      <c r="A48" s="56"/>
      <c r="B48" s="4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26" s="64" customFormat="1" x14ac:dyDescent="0.25">
      <c r="A49" s="56"/>
      <c r="B49" s="4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5"/>
      <c r="Q49" s="6"/>
      <c r="R49" s="1"/>
      <c r="S49" s="7"/>
      <c r="T49" s="1"/>
      <c r="U49" s="5"/>
      <c r="V49" s="5"/>
      <c r="W49" s="8"/>
      <c r="X49" s="9"/>
      <c r="Y49" s="8"/>
      <c r="Z49" s="63"/>
    </row>
    <row r="50" spans="1:26" hidden="1" x14ac:dyDescent="0.25">
      <c r="A50" s="65" t="s">
        <v>102</v>
      </c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4"/>
      <c r="R50" s="68"/>
      <c r="S50" s="69"/>
      <c r="T50" s="68"/>
      <c r="U50" s="64"/>
      <c r="V50" s="64"/>
      <c r="W50" s="63"/>
      <c r="X50" s="70"/>
      <c r="Y50" s="63"/>
    </row>
    <row r="51" spans="1:26" x14ac:dyDescent="0.25">
      <c r="B51" s="4"/>
      <c r="C51" s="71"/>
      <c r="D51" s="71"/>
      <c r="E51" s="71"/>
      <c r="F51" s="72"/>
      <c r="G51" s="71"/>
      <c r="H51" s="71"/>
      <c r="I51" s="72"/>
      <c r="J51" s="71"/>
      <c r="K51" s="71"/>
      <c r="L51" s="71"/>
      <c r="M51" s="71"/>
      <c r="N51" s="71"/>
      <c r="O51" s="71"/>
      <c r="Q51" s="73"/>
    </row>
    <row r="52" spans="1:26" x14ac:dyDescent="0.25">
      <c r="A52" s="56" t="s">
        <v>0</v>
      </c>
      <c r="B52" s="4"/>
      <c r="C52" s="4"/>
      <c r="D52" s="4"/>
      <c r="E52" s="4"/>
      <c r="F52" s="37"/>
      <c r="G52" s="40"/>
      <c r="H52" s="4"/>
      <c r="I52" s="4"/>
      <c r="J52" s="37"/>
      <c r="K52" s="4"/>
      <c r="L52" s="4"/>
      <c r="M52" s="4"/>
      <c r="N52" s="4"/>
      <c r="O52" s="4"/>
    </row>
    <row r="53" spans="1:26" x14ac:dyDescent="0.25">
      <c r="A53" s="10" t="s">
        <v>104</v>
      </c>
      <c r="B53" s="4"/>
      <c r="C53" s="29"/>
      <c r="D53" s="4"/>
      <c r="E53" s="4"/>
      <c r="F53" s="4"/>
      <c r="G53" s="40"/>
      <c r="H53" s="4"/>
      <c r="I53" s="4"/>
      <c r="J53" s="4"/>
      <c r="K53" s="4"/>
      <c r="L53" s="4"/>
      <c r="M53" s="4"/>
      <c r="N53" s="4"/>
      <c r="O53" s="4"/>
    </row>
    <row r="54" spans="1:26" x14ac:dyDescent="0.25">
      <c r="A54" s="1"/>
      <c r="B54" s="4"/>
      <c r="C54" s="14" t="s">
        <v>1</v>
      </c>
      <c r="D54" s="14" t="s">
        <v>2</v>
      </c>
      <c r="E54" s="18" t="s">
        <v>3</v>
      </c>
      <c r="F54" s="14" t="s">
        <v>4</v>
      </c>
      <c r="G54" s="74" t="s">
        <v>5</v>
      </c>
      <c r="H54" s="14" t="s">
        <v>6</v>
      </c>
      <c r="I54" s="18" t="s">
        <v>7</v>
      </c>
      <c r="J54" s="18" t="s">
        <v>8</v>
      </c>
      <c r="K54" s="14" t="s">
        <v>9</v>
      </c>
      <c r="L54" s="18" t="s">
        <v>10</v>
      </c>
      <c r="M54" s="18" t="s">
        <v>11</v>
      </c>
      <c r="N54" s="18" t="s">
        <v>103</v>
      </c>
      <c r="O54" s="14"/>
    </row>
    <row r="55" spans="1:26" x14ac:dyDescent="0.25">
      <c r="A55" s="10" t="s">
        <v>43</v>
      </c>
      <c r="B55" s="4"/>
      <c r="C55" s="20"/>
      <c r="D55" s="20"/>
      <c r="E55" s="20"/>
      <c r="F55" s="20"/>
      <c r="G55" s="40"/>
      <c r="H55" s="20"/>
      <c r="I55" s="20"/>
      <c r="J55" s="20"/>
      <c r="K55" s="20"/>
      <c r="L55" s="20"/>
      <c r="M55" s="20"/>
      <c r="N55" s="20"/>
      <c r="O55" s="20"/>
    </row>
    <row r="56" spans="1:26" x14ac:dyDescent="0.25">
      <c r="B56" s="33" t="s">
        <v>44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f>+M60</f>
        <v>0</v>
      </c>
      <c r="O56" s="75"/>
    </row>
    <row r="57" spans="1:26" x14ac:dyDescent="0.25">
      <c r="B57" s="33" t="s">
        <v>35</v>
      </c>
      <c r="C57" s="21">
        <f>+C34</f>
        <v>0</v>
      </c>
      <c r="D57" s="21">
        <v>0</v>
      </c>
      <c r="E57" s="21">
        <v>0</v>
      </c>
      <c r="F57" s="21">
        <v>0</v>
      </c>
      <c r="G57" s="21">
        <v>7500000</v>
      </c>
      <c r="H57" s="21">
        <v>0</v>
      </c>
      <c r="I57" s="21">
        <v>0</v>
      </c>
      <c r="J57" s="21">
        <v>11645000</v>
      </c>
      <c r="K57" s="21">
        <v>0</v>
      </c>
      <c r="L57" s="21">
        <v>7500000</v>
      </c>
      <c r="M57" s="21">
        <v>4987173</v>
      </c>
      <c r="N57" s="21">
        <f>+N34</f>
        <v>0</v>
      </c>
      <c r="O57" s="76"/>
    </row>
    <row r="58" spans="1:26" x14ac:dyDescent="0.25">
      <c r="B58" s="19" t="s">
        <v>57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76"/>
    </row>
    <row r="59" spans="1:26" x14ac:dyDescent="0.25">
      <c r="B59" s="33" t="s">
        <v>56</v>
      </c>
      <c r="C59" s="21">
        <v>0</v>
      </c>
      <c r="D59" s="21">
        <v>0</v>
      </c>
      <c r="E59" s="21">
        <v>0</v>
      </c>
      <c r="F59" s="21">
        <v>0</v>
      </c>
      <c r="G59" s="21">
        <v>-7500000</v>
      </c>
      <c r="H59" s="21">
        <v>0</v>
      </c>
      <c r="I59" s="21">
        <v>0</v>
      </c>
      <c r="J59" s="21">
        <v>-11645000</v>
      </c>
      <c r="K59" s="21">
        <v>0</v>
      </c>
      <c r="L59" s="21">
        <v>-7500000</v>
      </c>
      <c r="M59" s="21">
        <v>-4987173</v>
      </c>
      <c r="N59" s="21">
        <v>0</v>
      </c>
      <c r="O59" s="76"/>
    </row>
    <row r="60" spans="1:26" ht="15.6" thickBot="1" x14ac:dyDescent="0.3">
      <c r="B60" s="33" t="s">
        <v>45</v>
      </c>
      <c r="C60" s="61">
        <f t="shared" ref="C60:M60" si="14">SUM(C56:C59)</f>
        <v>0</v>
      </c>
      <c r="D60" s="61">
        <f t="shared" si="14"/>
        <v>0</v>
      </c>
      <c r="E60" s="61">
        <f t="shared" si="14"/>
        <v>0</v>
      </c>
      <c r="F60" s="61">
        <f t="shared" si="14"/>
        <v>0</v>
      </c>
      <c r="G60" s="61">
        <f t="shared" si="14"/>
        <v>0</v>
      </c>
      <c r="H60" s="61">
        <f t="shared" si="14"/>
        <v>0</v>
      </c>
      <c r="I60" s="61">
        <f>SUM(I56:I59)</f>
        <v>0</v>
      </c>
      <c r="J60" s="61">
        <f t="shared" si="14"/>
        <v>0</v>
      </c>
      <c r="K60" s="61">
        <f t="shared" si="14"/>
        <v>0</v>
      </c>
      <c r="L60" s="61">
        <f t="shared" si="14"/>
        <v>0</v>
      </c>
      <c r="M60" s="61">
        <f t="shared" si="14"/>
        <v>0</v>
      </c>
      <c r="N60" s="61">
        <f>SUM(N56:N59)</f>
        <v>0</v>
      </c>
      <c r="O60" s="62"/>
    </row>
    <row r="61" spans="1:26" ht="15.6" thickTop="1" x14ac:dyDescent="0.25">
      <c r="B61" s="33"/>
      <c r="C61" s="71"/>
      <c r="D61" s="71"/>
      <c r="E61" s="71"/>
      <c r="F61" s="71"/>
      <c r="G61" s="71"/>
      <c r="H61" s="62"/>
      <c r="I61" s="77"/>
      <c r="J61" s="77"/>
      <c r="K61" s="77"/>
      <c r="L61" s="77"/>
      <c r="M61" s="77"/>
      <c r="N61" s="77"/>
      <c r="O61" s="71"/>
    </row>
    <row r="62" spans="1:26" x14ac:dyDescent="0.25">
      <c r="A62" s="10" t="s">
        <v>58</v>
      </c>
      <c r="B62" s="4"/>
      <c r="C62" s="20"/>
      <c r="D62" s="20"/>
      <c r="E62" s="20"/>
      <c r="F62" s="20"/>
      <c r="G62" s="40"/>
      <c r="H62" s="22"/>
      <c r="I62" s="37"/>
      <c r="J62" s="20"/>
      <c r="K62" s="20"/>
      <c r="L62" s="20"/>
      <c r="M62" s="20"/>
      <c r="N62" s="20"/>
      <c r="O62" s="76"/>
    </row>
    <row r="63" spans="1:26" x14ac:dyDescent="0.25">
      <c r="A63" s="1"/>
      <c r="B63" s="33" t="s">
        <v>52</v>
      </c>
      <c r="C63" s="75">
        <v>120045372</v>
      </c>
      <c r="D63" s="75">
        <v>118401220</v>
      </c>
      <c r="E63" s="75">
        <v>116607767</v>
      </c>
      <c r="F63" s="75">
        <v>114948281</v>
      </c>
      <c r="G63" s="75">
        <v>119331806.06999999</v>
      </c>
      <c r="H63" s="75">
        <v>117731679</v>
      </c>
      <c r="I63" s="75">
        <v>115589895</v>
      </c>
      <c r="J63" s="75">
        <v>126292871.40000001</v>
      </c>
      <c r="K63" s="75">
        <v>125250603</v>
      </c>
      <c r="L63" s="75">
        <v>130159880.40000001</v>
      </c>
      <c r="M63" s="75">
        <v>134500553</v>
      </c>
      <c r="N63" s="21">
        <v>133608619</v>
      </c>
      <c r="O63" s="76"/>
    </row>
    <row r="64" spans="1:26" x14ac:dyDescent="0.25">
      <c r="A64" s="1"/>
      <c r="B64" s="33" t="s">
        <v>53</v>
      </c>
      <c r="C64" s="78">
        <v>4375000</v>
      </c>
      <c r="D64" s="21">
        <v>4375000</v>
      </c>
      <c r="E64" s="21">
        <v>4375000</v>
      </c>
      <c r="F64" s="21">
        <v>4375000</v>
      </c>
      <c r="G64" s="21">
        <v>4375000</v>
      </c>
      <c r="H64" s="21">
        <v>4375000</v>
      </c>
      <c r="I64" s="21">
        <v>4000000</v>
      </c>
      <c r="J64" s="21">
        <v>4000000</v>
      </c>
      <c r="K64" s="21">
        <v>3750000</v>
      </c>
      <c r="L64" s="21">
        <v>3750000</v>
      </c>
      <c r="M64" s="21">
        <v>3750000</v>
      </c>
      <c r="N64" s="21">
        <v>3750000</v>
      </c>
      <c r="O64" s="76"/>
    </row>
    <row r="65" spans="1:15" ht="15.6" thickBot="1" x14ac:dyDescent="0.3">
      <c r="A65" s="1"/>
      <c r="B65" s="10" t="s">
        <v>54</v>
      </c>
      <c r="C65" s="79">
        <f>SUM(C61:C64)</f>
        <v>124420372</v>
      </c>
      <c r="D65" s="61">
        <f t="shared" ref="D65:L65" si="15">SUM(D61:D64)</f>
        <v>122776220</v>
      </c>
      <c r="E65" s="61">
        <f t="shared" si="15"/>
        <v>120982767</v>
      </c>
      <c r="F65" s="61">
        <f t="shared" si="15"/>
        <v>119323281</v>
      </c>
      <c r="G65" s="79">
        <f>SUM(G61:G64)</f>
        <v>123706806.06999999</v>
      </c>
      <c r="H65" s="61">
        <f>SUM(H61:H64)</f>
        <v>122106679</v>
      </c>
      <c r="I65" s="61">
        <f t="shared" si="15"/>
        <v>119589895</v>
      </c>
      <c r="J65" s="61">
        <f t="shared" si="15"/>
        <v>130292871.40000001</v>
      </c>
      <c r="K65" s="61">
        <f t="shared" si="15"/>
        <v>129000603</v>
      </c>
      <c r="L65" s="61">
        <f t="shared" si="15"/>
        <v>133909880.40000001</v>
      </c>
      <c r="M65" s="79">
        <f>SUM(M61:M64)</f>
        <v>138250553</v>
      </c>
      <c r="N65" s="79">
        <f>SUM(N61:N64)</f>
        <v>137358619</v>
      </c>
      <c r="O65" s="80"/>
    </row>
    <row r="66" spans="1:15" ht="15.6" thickTop="1" x14ac:dyDescent="0.25">
      <c r="A66" s="1"/>
      <c r="B66" s="10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80"/>
    </row>
    <row r="67" spans="1:15" x14ac:dyDescent="0.25">
      <c r="A67" s="65"/>
      <c r="B67" s="1"/>
      <c r="C67" s="20"/>
      <c r="D67" s="20"/>
      <c r="E67" s="81"/>
      <c r="F67" s="20"/>
      <c r="G67" s="82"/>
      <c r="I67" s="49"/>
      <c r="J67" s="81"/>
      <c r="K67" s="81"/>
      <c r="L67" s="81"/>
      <c r="M67" s="81"/>
      <c r="N67" s="20"/>
      <c r="O67" s="80"/>
    </row>
    <row r="68" spans="1:15" x14ac:dyDescent="0.25">
      <c r="B68" s="83" t="s">
        <v>55</v>
      </c>
      <c r="C68" s="84">
        <f>ROUNDDOWN(+C63+C18+C64+C59-123424882-4375000,0)</f>
        <v>0</v>
      </c>
      <c r="D68" s="84">
        <f t="shared" ref="D68:I68" si="16">ROUNDDOWN(+D63+D18+D64+D59-C63-C64,0)</f>
        <v>0</v>
      </c>
      <c r="E68" s="84">
        <f t="shared" si="16"/>
        <v>0</v>
      </c>
      <c r="F68" s="84">
        <f t="shared" si="16"/>
        <v>0</v>
      </c>
      <c r="G68" s="84">
        <f t="shared" si="16"/>
        <v>0</v>
      </c>
      <c r="H68" s="84">
        <f t="shared" si="16"/>
        <v>0</v>
      </c>
      <c r="I68" s="84">
        <f t="shared" si="16"/>
        <v>0</v>
      </c>
      <c r="J68" s="84">
        <f>ROUNDDOWN(+J63+J18+J64+J59-I63-I64,0)</f>
        <v>0</v>
      </c>
      <c r="K68" s="84">
        <f>ROUNDDOWN(+K63+K18+K64+K59-J63-J64,0)</f>
        <v>0</v>
      </c>
      <c r="L68" s="84">
        <f>ROUNDDOWN(+L63+L18+L64+L59-K63-K64,0)</f>
        <v>0</v>
      </c>
      <c r="M68" s="84">
        <f>ROUNDDOWN(+M63+M18+M64+M59-L63-L64,0)</f>
        <v>0</v>
      </c>
      <c r="N68" s="84">
        <f>ROUNDDOWN(+N63+N18+N64+N59-M63-M64,0)</f>
        <v>0</v>
      </c>
      <c r="O68" s="85"/>
    </row>
    <row r="69" spans="1:15" x14ac:dyDescent="0.25">
      <c r="A69" s="56"/>
      <c r="C69" s="80"/>
      <c r="D69" s="86"/>
      <c r="E69" s="85"/>
      <c r="F69" s="86"/>
      <c r="H69" s="85"/>
      <c r="I69" s="85"/>
      <c r="J69" s="87"/>
      <c r="K69" s="87"/>
      <c r="L69" s="87"/>
      <c r="M69" s="85"/>
      <c r="N69" s="88"/>
      <c r="O69" s="85"/>
    </row>
    <row r="70" spans="1:15" x14ac:dyDescent="0.25">
      <c r="C70" s="80"/>
      <c r="D70" s="86"/>
      <c r="E70" s="85"/>
      <c r="F70" s="86"/>
      <c r="H70" s="85"/>
      <c r="I70" s="85"/>
      <c r="J70" s="86"/>
      <c r="K70" s="85"/>
      <c r="L70" s="85"/>
      <c r="M70" s="85"/>
      <c r="N70" s="21"/>
      <c r="O70" s="85"/>
    </row>
    <row r="71" spans="1:15" x14ac:dyDescent="0.25">
      <c r="C71" s="80"/>
      <c r="D71" s="86"/>
      <c r="E71" s="85"/>
      <c r="F71" s="86"/>
      <c r="H71" s="85"/>
      <c r="I71" s="85"/>
      <c r="J71" s="85"/>
      <c r="K71" s="85"/>
      <c r="L71" s="85"/>
      <c r="M71" s="85"/>
      <c r="N71" s="21"/>
      <c r="O71" s="85"/>
    </row>
    <row r="72" spans="1:15" x14ac:dyDescent="0.25">
      <c r="C72" s="80"/>
      <c r="D72" s="86"/>
      <c r="E72" s="85"/>
      <c r="F72" s="86"/>
      <c r="H72" s="85"/>
      <c r="I72" s="85"/>
      <c r="J72" s="85"/>
      <c r="K72" s="85"/>
      <c r="L72" s="85"/>
      <c r="M72" s="85"/>
      <c r="N72" s="21"/>
      <c r="O72" s="85"/>
    </row>
    <row r="73" spans="1:15" x14ac:dyDescent="0.25">
      <c r="C73" s="80"/>
      <c r="D73" s="86"/>
      <c r="E73" s="85"/>
      <c r="F73" s="86"/>
      <c r="H73" s="85"/>
      <c r="I73" s="85"/>
      <c r="J73" s="85"/>
      <c r="K73" s="85"/>
      <c r="L73" s="85"/>
      <c r="M73" s="85"/>
      <c r="N73" s="21"/>
      <c r="O73" s="85"/>
    </row>
    <row r="74" spans="1:15" x14ac:dyDescent="0.25">
      <c r="C74" s="80"/>
    </row>
    <row r="75" spans="1:15" x14ac:dyDescent="0.25">
      <c r="C75" s="80"/>
    </row>
    <row r="76" spans="1:15" x14ac:dyDescent="0.25">
      <c r="C76" s="80"/>
    </row>
  </sheetData>
  <sheetProtection password="9299" sheet="1" objects="1" scenarios="1"/>
  <phoneticPr fontId="3" type="noConversion"/>
  <printOptions gridLinesSet="0"/>
  <pageMargins left="0" right="0" top="0.75" bottom="0.43" header="0" footer="0.17"/>
  <pageSetup scale="68" fitToWidth="0" fitToHeight="0" orientation="landscape" r:id="rId1"/>
  <headerFooter alignWithMargins="0">
    <oddFooter>&amp;R&amp;"CG Times,Regular"&amp;8&amp;D 
 &amp;F</oddFooter>
  </headerFooter>
  <rowBreaks count="1" manualBreakCount="1">
    <brk id="5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10</vt:lpstr>
      <vt:lpstr>'Table 10'!Print_Area</vt:lpstr>
      <vt:lpstr>Print_Area_MI</vt:lpstr>
      <vt:lpstr>'Table 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TRUST ACCOUNTING, OPERATIONS DI</dc:creator>
  <cp:lastModifiedBy>DHARPER</cp:lastModifiedBy>
  <cp:lastPrinted>2017-04-05T19:51:39Z</cp:lastPrinted>
  <dcterms:created xsi:type="dcterms:W3CDTF">1997-08-15T18:05:00Z</dcterms:created>
  <dcterms:modified xsi:type="dcterms:W3CDTF">2017-04-05T19:52:27Z</dcterms:modified>
</cp:coreProperties>
</file>